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wangtingting28/Desktop/福特phase4/福特Phase4 CX727 ICA/R06/性能测试报告/"/>
    </mc:Choice>
  </mc:AlternateContent>
  <xr:revisionPtr revIDLastSave="0" documentId="13_ncr:1_{72FEDF7A-386F-2A4B-B84F-E8AB631EBC27}" xr6:coauthVersionLast="47" xr6:coauthVersionMax="47" xr10:uidLastSave="{00000000-0000-0000-0000-000000000000}"/>
  <bookViews>
    <workbookView xWindow="360" yWindow="500" windowWidth="25400" windowHeight="16260" tabRatio="602" activeTab="1" xr2:uid="{00000000-000D-0000-FFFF-FFFF00000000}"/>
  </bookViews>
  <sheets>
    <sheet name="并发场景" sheetId="13" r:id="rId1"/>
    <sheet name="综合打分" sheetId="1" r:id="rId2"/>
    <sheet name="Response Time " sheetId="7" r:id="rId3"/>
    <sheet name="App Sources" sheetId="8" r:id="rId4"/>
    <sheet name="Baidu App" sheetId="11" r:id="rId5"/>
  </sheets>
  <definedNames>
    <definedName name="_xlnm._FilterDatabase" localSheetId="3" hidden="1">'App Sources'!$A$1:$V$89</definedName>
    <definedName name="_xlnm._FilterDatabase" localSheetId="2" hidden="1">'Response Time '!$A$1:$K$64</definedName>
    <definedName name="_xlnm._FilterDatabase" localSheetId="1" hidden="1">综合打分!$A$1:$R$100</definedName>
    <definedName name="Z_0EA55DCA_7FF2_4F36_8A7E_F0EACCC29DBE_.wvu.FilterData" localSheetId="2" hidden="1">'Response Time '!$A$1:$K$64</definedName>
    <definedName name="Z_16A41CC9_C03A_4F0A_B03A_44E212E13660_.wvu.FilterData" localSheetId="2" hidden="1">'Response Time '!$A$1:$K$64</definedName>
    <definedName name="Z_16DC14A2_7903_4025_B903_380A1366D4B8_.wvu.FilterData" localSheetId="2" hidden="1">'Response Time '!$A$1:$K$64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'!$A$1:$K$64</definedName>
    <definedName name="Z_2F5A4DEB_972B_44A6_8415_B3AF8AAB8DD1_.wvu.FilterData" localSheetId="2" hidden="1">'Response Time '!$A$1:$K$64</definedName>
    <definedName name="Z_4E56EFD8_82B0_433B_87B4_FAE95366C90A_.wvu.FilterData" localSheetId="2" hidden="1">'Response Time '!$A$1:$K$64</definedName>
    <definedName name="Z_50D2B5B7_80D0_4780_BB59_F4E52620A863_.wvu.FilterData" localSheetId="2" hidden="1">'Response Time '!$H$1:$H$64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'!$A$1:$K$64</definedName>
    <definedName name="Z_64728F9F_AAFE_4C17_A15F_C96F3AE04D0C_.wvu.FilterData" localSheetId="2" hidden="1">'Response Time '!$A$1:$K$64</definedName>
    <definedName name="Z_67627A8C_5C40_462C_B63D_E064A913FD1B_.wvu.FilterData" localSheetId="2" hidden="1">'Response Time '!$A$1:$K$64</definedName>
    <definedName name="Z_6A1708EE_78D5_4730_9EC1_32494DD84064_.wvu.FilterData" localSheetId="2" hidden="1">'Response Time '!$A$1:$K$64</definedName>
    <definedName name="Z_75A5D5D5_3DF6_4DF0_A35D_F3AEF19FA0C8_.wvu.FilterData" localSheetId="2" hidden="1">'Response Time '!$H$1:$H$64</definedName>
    <definedName name="Z_81868EC3_D2C9_49E1_A7C4_56AD2CFDD907_.wvu.FilterData" localSheetId="2" hidden="1">'Response Time '!$A$1:$K$64</definedName>
    <definedName name="Z_82B7589E_14AC_4428_B990_D113B4B9C8B2_.wvu.FilterData" localSheetId="2" hidden="1">'Response Time '!$A$1:$K$64</definedName>
    <definedName name="Z_9905B039_5D9C_4BC1_BCAD_85093189CE48_.wvu.FilterData" localSheetId="2" hidden="1">'Response Time '!$A$1:$K$64</definedName>
    <definedName name="Z_A17A2F87_19DB_4AF8_AC37_28F784855FD7_.wvu.FilterData" localSheetId="2" hidden="1">'Response Time '!$A$1:$K$64</definedName>
    <definedName name="Z_A1C2E0EA_0798_4EE9_BA53_3DA16A20F391_.wvu.FilterData" localSheetId="2" hidden="1">'Response Time '!$A$1:$K$64</definedName>
    <definedName name="Z_B0B1D487_08B5_4EE3_B1A5_0E537BA44F6F_.wvu.FilterData" localSheetId="2" hidden="1">'Response Time '!$H$1:$H$64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'!$A$1:$K$64</definedName>
    <definedName name="Z_BFE5DC58_F040_475A_8F39_87308C22B1B1_.wvu.FilterData" localSheetId="2" hidden="1">'Response Time '!$A$1:$K$64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'!$A$1:$K$64</definedName>
    <definedName name="Z_CB05707F_24A9_4357_8065_43BE4DD90B2D_.wvu.FilterData" localSheetId="2" hidden="1">'Response Time '!$A$1:$K$64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'!$A$1:$K$64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'!$A$1:$K$64</definedName>
    <definedName name="Z_E3F0DD2F_B4B7_440E_B6E2_120742CBE6C3_.wvu.FilterData" localSheetId="2" hidden="1">'Response Time '!$A$1:$K$64</definedName>
    <definedName name="Z_F2292B89_B249_407C_9F60_58BD83C5901D_.wvu.FilterData" localSheetId="2" hidden="1">'Response Time '!$A$1:$K$64</definedName>
    <definedName name="Z_F5DE3CB0_C52E_433A_B531_B98B1F605089_.wvu.FilterData" localSheetId="2" hidden="1">'Response Time 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9" i="1" l="1"/>
  <c r="I13" i="1"/>
  <c r="J31" i="1"/>
  <c r="J13" i="1"/>
  <c r="I15" i="1"/>
  <c r="I16" i="1"/>
  <c r="J16" i="1"/>
  <c r="J19" i="1"/>
  <c r="I18" i="1"/>
  <c r="I12" i="1"/>
  <c r="J68" i="1"/>
  <c r="I36" i="1"/>
  <c r="J36" i="1"/>
  <c r="I38" i="1"/>
  <c r="J38" i="1"/>
  <c r="J18" i="1"/>
  <c r="G38" i="7" l="1"/>
  <c r="G39" i="7"/>
  <c r="G40" i="7"/>
  <c r="F40" i="7"/>
  <c r="G41" i="7"/>
  <c r="F41" i="7"/>
  <c r="G42" i="7"/>
  <c r="F42" i="7"/>
  <c r="G9" i="7"/>
  <c r="G7" i="7"/>
  <c r="G8" i="7"/>
  <c r="G17" i="7"/>
  <c r="F17" i="7"/>
  <c r="G16" i="7"/>
  <c r="G15" i="7"/>
  <c r="G14" i="7"/>
  <c r="G12" i="7"/>
  <c r="G11" i="7"/>
  <c r="G10" i="7"/>
  <c r="F10" i="7"/>
  <c r="G4" i="7"/>
  <c r="G3" i="7"/>
  <c r="G48" i="7"/>
  <c r="G47" i="7"/>
  <c r="G46" i="7"/>
  <c r="G45" i="7"/>
  <c r="G44" i="7"/>
  <c r="G23" i="7"/>
  <c r="G22" i="7"/>
  <c r="G21" i="7"/>
  <c r="G20" i="7"/>
  <c r="G19" i="7"/>
  <c r="G18" i="7"/>
  <c r="J14" i="1"/>
  <c r="I14" i="1"/>
  <c r="J52" i="1"/>
  <c r="I52" i="1"/>
  <c r="J60" i="1"/>
  <c r="I60" i="1"/>
  <c r="J67" i="1"/>
  <c r="I67" i="1"/>
  <c r="J69" i="1"/>
  <c r="I69" i="1"/>
  <c r="J70" i="1"/>
  <c r="I70" i="1"/>
  <c r="J73" i="1"/>
  <c r="I73" i="1"/>
  <c r="J74" i="1"/>
  <c r="I74" i="1"/>
  <c r="J76" i="1"/>
  <c r="I76" i="1"/>
  <c r="J85" i="1"/>
  <c r="I85" i="1"/>
  <c r="J87" i="1"/>
  <c r="I87" i="1"/>
  <c r="J93" i="1"/>
  <c r="I93" i="1"/>
  <c r="J59" i="1"/>
  <c r="J58" i="1"/>
  <c r="J57" i="1"/>
  <c r="J56" i="1"/>
  <c r="I56" i="1"/>
  <c r="J55" i="1"/>
  <c r="J32" i="1"/>
  <c r="K32" i="1" s="1"/>
  <c r="J30" i="1"/>
  <c r="J29" i="1"/>
  <c r="J28" i="1"/>
  <c r="J27" i="1"/>
  <c r="I28" i="1"/>
  <c r="J11" i="1"/>
  <c r="J8" i="1"/>
  <c r="J7" i="1"/>
  <c r="J6" i="1"/>
  <c r="J4" i="1"/>
  <c r="J3" i="1"/>
  <c r="I55" i="1"/>
  <c r="G49" i="7"/>
  <c r="G37" i="7"/>
  <c r="G35" i="7"/>
  <c r="I24" i="1"/>
  <c r="F64" i="7"/>
  <c r="K18" i="1"/>
  <c r="F63" i="7"/>
  <c r="F62" i="7"/>
  <c r="F4" i="7"/>
  <c r="F3" i="7"/>
  <c r="F18" i="7"/>
  <c r="F13" i="7"/>
  <c r="I32" i="1"/>
  <c r="I31" i="1"/>
  <c r="I8" i="1"/>
  <c r="I7" i="1"/>
  <c r="I6" i="1"/>
  <c r="I35" i="1"/>
  <c r="J35" i="1"/>
  <c r="I46" i="1"/>
  <c r="I45" i="1"/>
  <c r="I51" i="1"/>
  <c r="I50" i="1"/>
  <c r="I49" i="1"/>
  <c r="I77" i="1"/>
  <c r="I5" i="1"/>
  <c r="F48" i="7"/>
  <c r="F47" i="7"/>
  <c r="F49" i="7"/>
  <c r="F35" i="7"/>
  <c r="F46" i="7"/>
  <c r="F45" i="7"/>
  <c r="F44" i="7"/>
  <c r="F39" i="7"/>
  <c r="F38" i="7"/>
  <c r="F37" i="7"/>
  <c r="F36" i="7"/>
  <c r="I54" i="1"/>
  <c r="I11" i="1"/>
  <c r="F52" i="7"/>
  <c r="F51" i="7"/>
  <c r="F50" i="7"/>
  <c r="I48" i="1"/>
  <c r="I66" i="1"/>
  <c r="I65" i="1"/>
  <c r="K65" i="1" s="1"/>
  <c r="I10" i="1"/>
  <c r="J10" i="1"/>
  <c r="I68" i="1"/>
  <c r="F59" i="7"/>
  <c r="F57" i="7"/>
  <c r="F56" i="7"/>
  <c r="F54" i="7"/>
  <c r="I59" i="1"/>
  <c r="K59" i="1" s="1"/>
  <c r="F53" i="7"/>
  <c r="I92" i="1"/>
  <c r="K76" i="1"/>
  <c r="I91" i="1"/>
  <c r="I75" i="1"/>
  <c r="I90" i="1"/>
  <c r="K89" i="1"/>
  <c r="I88" i="1"/>
  <c r="K88" i="1" s="1"/>
  <c r="I58" i="1"/>
  <c r="I57" i="1"/>
  <c r="I84" i="1"/>
  <c r="K87" i="1"/>
  <c r="I86" i="1"/>
  <c r="I25" i="1"/>
  <c r="I23" i="1"/>
  <c r="I22" i="1"/>
  <c r="K22" i="1" s="1"/>
  <c r="I19" i="1"/>
  <c r="K19" i="1" s="1"/>
  <c r="I17" i="1"/>
  <c r="I95" i="1"/>
  <c r="K95" i="1" s="1"/>
  <c r="I62" i="1"/>
  <c r="I61" i="1"/>
  <c r="K61" i="1" s="1"/>
  <c r="I94" i="1"/>
  <c r="I47" i="1"/>
  <c r="K47" i="1" s="1"/>
  <c r="I34" i="1"/>
  <c r="I33" i="1"/>
  <c r="I9" i="1"/>
  <c r="I30" i="1"/>
  <c r="I29" i="1"/>
  <c r="K29" i="1" s="1"/>
  <c r="I27" i="1"/>
  <c r="K27" i="1" s="1"/>
  <c r="I26" i="1"/>
  <c r="K12" i="1"/>
  <c r="I4" i="1"/>
  <c r="K4" i="1" s="1"/>
  <c r="I2" i="1"/>
  <c r="I3" i="1"/>
  <c r="K3" i="1" s="1"/>
  <c r="I53" i="1"/>
  <c r="I44" i="1"/>
  <c r="K44" i="1" s="1"/>
  <c r="I37" i="1"/>
  <c r="F23" i="7"/>
  <c r="F22" i="7"/>
  <c r="F21" i="7"/>
  <c r="F20" i="7"/>
  <c r="F19" i="7"/>
  <c r="F16" i="7"/>
  <c r="F15" i="7"/>
  <c r="F14" i="7"/>
  <c r="F12" i="7"/>
  <c r="F11" i="7"/>
  <c r="F9" i="7"/>
  <c r="F8" i="7"/>
  <c r="F7" i="7"/>
  <c r="J37" i="1"/>
  <c r="G64" i="7"/>
  <c r="G63" i="7"/>
  <c r="G62" i="7"/>
  <c r="G59" i="7"/>
  <c r="G57" i="7"/>
  <c r="G56" i="7"/>
  <c r="G54" i="7"/>
  <c r="G53" i="7"/>
  <c r="G52" i="7"/>
  <c r="G51" i="7"/>
  <c r="G50" i="7"/>
  <c r="G36" i="7"/>
  <c r="J95" i="1"/>
  <c r="J91" i="1"/>
  <c r="J89" i="1"/>
  <c r="J84" i="1"/>
  <c r="K84" i="1" s="1"/>
  <c r="J94" i="1"/>
  <c r="K93" i="1"/>
  <c r="J92" i="1"/>
  <c r="J90" i="1"/>
  <c r="J88" i="1"/>
  <c r="J86" i="1"/>
  <c r="K85" i="1"/>
  <c r="K91" i="1"/>
  <c r="K94" i="1"/>
  <c r="K96" i="1"/>
  <c r="K97" i="1"/>
  <c r="K98" i="1"/>
  <c r="K99" i="1"/>
  <c r="K100" i="1"/>
  <c r="J77" i="1"/>
  <c r="K77" i="1"/>
  <c r="J75" i="1"/>
  <c r="K75" i="1" s="1"/>
  <c r="K74" i="1"/>
  <c r="K73" i="1"/>
  <c r="J66" i="1"/>
  <c r="J65" i="1"/>
  <c r="J62" i="1"/>
  <c r="J61" i="1"/>
  <c r="K60" i="1"/>
  <c r="J54" i="1"/>
  <c r="K54" i="1" s="1"/>
  <c r="J53" i="1"/>
  <c r="K53" i="1" s="1"/>
  <c r="K52" i="1"/>
  <c r="J51" i="1"/>
  <c r="J50" i="1"/>
  <c r="J49" i="1"/>
  <c r="J48" i="1"/>
  <c r="J47" i="1"/>
  <c r="J46" i="1"/>
  <c r="K46" i="1" s="1"/>
  <c r="J45" i="1"/>
  <c r="J44" i="1"/>
  <c r="K35" i="1"/>
  <c r="J34" i="1"/>
  <c r="K34" i="1" s="1"/>
  <c r="J33" i="1"/>
  <c r="J26" i="1"/>
  <c r="J25" i="1"/>
  <c r="J24" i="1"/>
  <c r="J23" i="1"/>
  <c r="K23" i="1" s="1"/>
  <c r="J22" i="1"/>
  <c r="J17" i="1"/>
  <c r="K16" i="1"/>
  <c r="J15" i="1"/>
  <c r="K15" i="1" s="1"/>
  <c r="K14" i="1"/>
  <c r="K13" i="1"/>
  <c r="J12" i="1"/>
  <c r="J9" i="1"/>
  <c r="K9" i="1" s="1"/>
  <c r="J5" i="1"/>
  <c r="K5" i="1"/>
  <c r="K6" i="1"/>
  <c r="K8" i="1"/>
  <c r="K10" i="1"/>
  <c r="K11" i="1"/>
  <c r="K26" i="1"/>
  <c r="K28" i="1"/>
  <c r="K30" i="1"/>
  <c r="K31" i="1"/>
  <c r="K36" i="1"/>
  <c r="K38" i="1"/>
  <c r="K39" i="1"/>
  <c r="K40" i="1"/>
  <c r="K41" i="1"/>
  <c r="K42" i="1"/>
  <c r="K43" i="1"/>
  <c r="K50" i="1"/>
  <c r="K51" i="1"/>
  <c r="K55" i="1"/>
  <c r="K56" i="1"/>
  <c r="K57" i="1"/>
  <c r="K58" i="1"/>
  <c r="K62" i="1"/>
  <c r="K67" i="1"/>
  <c r="K68" i="1"/>
  <c r="K69" i="1"/>
  <c r="K70" i="1"/>
  <c r="K2" i="1"/>
  <c r="E50" i="7"/>
  <c r="K24" i="1" l="1"/>
  <c r="K48" i="1"/>
  <c r="K86" i="1"/>
  <c r="K37" i="1"/>
  <c r="K7" i="1"/>
  <c r="K25" i="1"/>
  <c r="K66" i="1"/>
  <c r="K33" i="1"/>
  <c r="K17" i="1"/>
  <c r="K92" i="1"/>
  <c r="K49" i="1"/>
  <c r="K90" i="1"/>
  <c r="K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tc={27494863-EBC7-452A-9C0F-356C4EA0AF9B}</author>
    <author>tc={7322FF62-DE96-4E8F-89F2-D4F09D58087E}</author>
  </authors>
  <commentList>
    <comment ref="K1" authorId="0" shapeId="0" xr:uid="{00000000-0006-0000-01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L1" authorId="1" shapeId="0" xr:uid="{00000000-0006-0000-01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M1" authorId="2" shapeId="0" xr:uid="{00000000-0006-0000-01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<sst xmlns="http://schemas.openxmlformats.org/spreadsheetml/2006/main" count="3115" uniqueCount="1246">
  <si>
    <t>27寸长屏</t>
  </si>
  <si>
    <t>备注</t>
  </si>
  <si>
    <t>CPU常用场景一下归一化CPU Free</t>
  </si>
  <si>
    <t xml:space="preserve"> 开机3分钟后IDLE（全屏状态，打开系统设置应用，不要停留在Launcher界面）</t>
  </si>
  <si>
    <t>VR是一分钟唤醒一次，一条语音指令</t>
  </si>
  <si>
    <t>CPU常用场景二下归一化CPU Free</t>
  </si>
  <si>
    <t>主驾导航+主驾QQ Music+副驾爱奇艺+副驾BT耳机+VR+V2I</t>
  </si>
  <si>
    <t>CPU常用场景三下归一化CPU Free</t>
  </si>
  <si>
    <t>主驾导航+主驾BT Music+副驾QQ Music+副驾BT耳机+VR+V2I</t>
  </si>
  <si>
    <t>RAM常用场景一下归一化RAM Free</t>
  </si>
  <si>
    <t>主驾导航+主驾QQ Music+副驾切换主题20次+V2I</t>
  </si>
  <si>
    <t>RAM常用场景二下归一化RAM Free</t>
  </si>
  <si>
    <t>主驾导航+主驾QQ Music+副驾轮流操作空调/氛围灯/按钮等动效+V2I</t>
  </si>
  <si>
    <t>RAM Worst case下归一化RAM Free</t>
  </si>
  <si>
    <t>主驾导航+主驾QQ Music+副驾QQ Music+副驾BT耳机+副驾把所有应用启动一次+V2I</t>
  </si>
  <si>
    <t>GPU常用场景一下归一化GPU Free</t>
  </si>
  <si>
    <t>上电开机后100秒+V2I</t>
  </si>
  <si>
    <t>GPU常用场景二下归一化GPU Free</t>
  </si>
  <si>
    <t>开机过程中连续发起三次倒车+V2I</t>
  </si>
  <si>
    <t>GPU常用场景三下归一化GPU Free</t>
  </si>
  <si>
    <t>开机完成后倒车+V2I</t>
  </si>
  <si>
    <t>单屏</t>
  </si>
  <si>
    <t xml:space="preserve"> 开机3分钟后IDLE+V2I</t>
  </si>
  <si>
    <t>导航+QQ Music+VR+V2I</t>
  </si>
  <si>
    <t>导航+BT Music+VR+V2I</t>
  </si>
  <si>
    <t>CPU worst case下归一化CPU Free</t>
  </si>
  <si>
    <t>爱奇艺+后台导航+VR+V2I</t>
  </si>
  <si>
    <t>导航+QQ Music+切换主题20次+V2I</t>
  </si>
  <si>
    <t>导航+把所有应用启动一次+V2I</t>
  </si>
  <si>
    <t>CD542H 27寸长屏（带AR导航功能的）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</si>
  <si>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</si>
  <si>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</si>
  <si>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</si>
  <si>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</si>
  <si>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</rPr>
      <t>+V2I</t>
    </r>
  </si>
  <si>
    <r>
      <rPr>
        <sz val="11"/>
        <rFont val="宋体"/>
        <family val="3"/>
        <charset val="134"/>
      </rPr>
      <t>上电开机后</t>
    </r>
    <r>
      <rPr>
        <sz val="11"/>
        <rFont val="Abadi"/>
      </rPr>
      <t>100</t>
    </r>
    <r>
      <rPr>
        <sz val="11"/>
        <rFont val="宋体"/>
        <family val="3"/>
        <charset val="134"/>
      </rPr>
      <t>秒</t>
    </r>
    <r>
      <rPr>
        <sz val="11"/>
        <rFont val="Abadi"/>
      </rPr>
      <t>+V2I</t>
    </r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</si>
  <si>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</si>
  <si>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</si>
  <si>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</si>
  <si>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</si>
  <si>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</si>
  <si>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</si>
  <si>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</si>
  <si>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</si>
  <si>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R06.PRO.HF3</t>
    <phoneticPr fontId="36" type="noConversion"/>
  </si>
  <si>
    <t>R06.PRO</t>
    <phoneticPr fontId="36" type="noConversion"/>
  </si>
  <si>
    <t>偏差</t>
  </si>
  <si>
    <t>用例类型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</si>
  <si>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</rPr>
      <t>or</t>
    </r>
    <r>
      <rPr>
        <b/>
        <sz val="16"/>
        <color theme="1"/>
        <rFont val="宋体"/>
        <family val="3"/>
        <charset val="134"/>
      </rPr>
      <t>实车</t>
    </r>
  </si>
  <si>
    <t>测试状态</t>
  </si>
  <si>
    <t>测试前提条件</t>
  </si>
  <si>
    <t>测试步骤</t>
  </si>
  <si>
    <t>性能数据计算细则</t>
  </si>
  <si>
    <t>Owner</t>
  </si>
  <si>
    <t>响应时间</t>
  </si>
  <si>
    <t>Power on QQ音乐首次启动</t>
  </si>
  <si>
    <t>4s</t>
  </si>
  <si>
    <t>1-2-1-1</t>
  </si>
  <si>
    <t>台架</t>
  </si>
  <si>
    <t>冷启动</t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</si>
  <si>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</t>
    </r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</si>
  <si>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，点击随心听卡片</t>
    </r>
  </si>
  <si>
    <t>计算从手部离开点击到QQ音乐界面稳定展示</t>
  </si>
  <si>
    <t>Baidu</t>
  </si>
  <si>
    <t>Power onQQ音乐选择歌单</t>
  </si>
  <si>
    <t>1s</t>
  </si>
  <si>
    <t>1-3-1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</si>
  <si>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，点击随心听图标
3.在QQ音乐界面显示1s内选择一个歌单</t>
    </r>
  </si>
  <si>
    <t>计算从手部离开点击到歌单界面稳定展示</t>
  </si>
  <si>
    <t>Power onQQ音乐选择歌曲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</si>
  <si>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</si>
  <si>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</si>
  <si>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on导航启动时间</t>
  </si>
  <si>
    <t>Y</t>
  </si>
  <si>
    <t>12.2s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</si>
  <si>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</si>
  <si>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</si>
  <si>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power on导航界面点击输入框出现下拉框</t>
  </si>
  <si>
    <t>1-3-1-1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</si>
  <si>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，点击导航图标
3.点击导航中的地址输入框</t>
    </r>
  </si>
  <si>
    <t>计算从手部离开点击到下拉框稳定展示</t>
  </si>
  <si>
    <t>power on导航搜索地址完成</t>
  </si>
  <si>
    <t>1.5s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</si>
  <si>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</si>
  <si>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</si>
  <si>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</si>
  <si>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2s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</si>
  <si>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</si>
  <si>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</si>
  <si>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</si>
  <si>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15.2s</t>
  </si>
  <si>
    <t>1-4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</si>
  <si>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</si>
  <si>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</si>
  <si>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</si>
  <si>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t>1-1-1-1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</si>
  <si>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</t>
    </r>
    <r>
      <rPr>
        <sz val="16"/>
        <color rgb="FFFF0000"/>
        <rFont val="Verdana Pro"/>
      </rPr>
      <t>Launcher显示后1s内</t>
    </r>
    <r>
      <rPr>
        <sz val="16"/>
        <color theme="1"/>
        <rFont val="Verdana Pro"/>
      </rPr>
      <t>，尝试福特定制唤醒词唤醒
3.若第一次无响应，间隔1s再次尝试</t>
    </r>
  </si>
  <si>
    <t>Power on语音播放音乐</t>
  </si>
  <si>
    <t>5s</t>
  </si>
  <si>
    <t>1.IVI开机，发送adb reboot消息
2.Launcher显示后1s内，尝试福特定制唤醒词唤醒
3.语音"播放xxx"</t>
  </si>
  <si>
    <t>计算从展示在上屏的最后一个字到反馈的第一个字结束
- 小度小度
- 哎，我在
- 播放周杰伦的歌曲  
- 福特为你带来 xxxxx的歌曲。
计算的时间就是“曲”到“福”之间的时间</t>
  </si>
  <si>
    <t>Power onFM/在线电台音源恢复</t>
  </si>
  <si>
    <t>6.2s</t>
  </si>
  <si>
    <t>1-1</t>
  </si>
  <si>
    <t>车机播放Fm</t>
  </si>
  <si>
    <r>
      <rPr>
        <sz val="16"/>
        <color theme="1"/>
        <rFont val="Verdana Pro"/>
      </rPr>
      <t>1.IVI开机，发送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</si>
  <si>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</si>
  <si>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</si>
  <si>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18.2s</t>
  </si>
  <si>
    <t>1.1.U盘根目录存放两首歌曲
2.车机播放U盘音乐</t>
  </si>
  <si>
    <r>
      <rPr>
        <sz val="16"/>
        <color theme="1"/>
        <rFont val="Verdana Pro"/>
      </rPr>
      <t>IVI开机，发送</t>
    </r>
    <r>
      <rPr>
        <sz val="16"/>
        <color rgb="FFFF0000"/>
        <rFont val="Verdana Pro"/>
      </rPr>
      <t>adb reboot</t>
    </r>
    <r>
      <rPr>
        <sz val="16"/>
        <color theme="1"/>
        <rFont val="Verdana Pro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</si>
  <si>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</si>
  <si>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</si>
  <si>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</si>
  <si>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</si>
  <si>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t>路测</t>
  </si>
  <si>
    <r>
      <rPr>
        <sz val="16"/>
        <color theme="1"/>
        <rFont val="Verdana Pro"/>
      </rPr>
      <t>CPU</t>
    </r>
    <r>
      <rPr>
        <sz val="16"/>
        <color theme="1"/>
        <rFont val="微软雅黑"/>
        <family val="2"/>
        <charset val="134"/>
      </rPr>
      <t>常用场景一下归一化</t>
    </r>
    <r>
      <rPr>
        <sz val="16"/>
        <color theme="1"/>
        <rFont val="Verdana Pro"/>
      </rPr>
      <t>CPU Free</t>
    </r>
  </si>
  <si>
    <t>&gt;60% for 400%</t>
  </si>
  <si>
    <t>实车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</si>
  <si>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</si>
  <si>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</si>
  <si>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</si>
  <si>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</si>
  <si>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路测常用场景二持续运行20分钟，以5秒为间隔持续抓取CPU数据（nice -n -10 top -d 5）</t>
  </si>
  <si>
    <t>CPU Worst case下归一化CPU Free</t>
  </si>
  <si>
    <t>路测Worst case持续运行20分钟，以5秒为间隔持续抓取CPU数据（nice -n -10 top -d 5）</t>
  </si>
  <si>
    <t>&gt;30%</t>
  </si>
  <si>
    <t>路测常用场景一持续运行20分钟，以3分钟为间隔持续抓取Free Ram数据（dumpsys -t 180 meminfo）</t>
  </si>
  <si>
    <t>计算20分钟整个周期下Free Ram平均值</t>
  </si>
  <si>
    <t>非目标车型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</si>
  <si>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</si>
  <si>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</si>
  <si>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</si>
  <si>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路测Worst case持续运行20分钟，以3分钟为间隔持续抓取内存数据（dumpsys -t 180 meminfo）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</si>
  <si>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</si>
  <si>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</si>
  <si>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</si>
  <si>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音乐首次启动</t>
    </r>
  </si>
  <si>
    <t>1-3</t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</si>
  <si>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</rPr>
      <t>QQ</t>
    </r>
    <r>
      <rPr>
        <sz val="16"/>
        <color theme="1"/>
        <rFont val="宋体"/>
        <family val="3"/>
        <charset val="134"/>
      </rPr>
      <t>音乐</t>
    </r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</si>
  <si>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</si>
  <si>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计算从手指抬起动作到音乐界面暂停按钮切换到播放按钮</t>
  </si>
  <si>
    <t>系统稳定状态下QQ音乐选择歌单</t>
  </si>
  <si>
    <t>1.开机Launcher出来以后等待3分钟点击随心听图标
2.切换到QQ音乐Tab页面
3.选择一个歌单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</si>
  <si>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</si>
  <si>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</si>
  <si>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</si>
  <si>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</si>
  <si>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</si>
  <si>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</si>
  <si>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系统稳定状态下喜马拉雅首次启动</t>
  </si>
  <si>
    <t>关机前是USB音乐</t>
  </si>
  <si>
    <t>开机Launcher出来以后等待3分钟，点击应用按钮</t>
  </si>
  <si>
    <t>计算从手指抬起动作到应用界面稳定展示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</si>
  <si>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</si>
  <si>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</si>
  <si>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</si>
  <si>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</si>
  <si>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</si>
  <si>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</si>
  <si>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QQ/新闻/喜马拉雅/在线FM热启动</t>
  </si>
  <si>
    <t>200ms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</si>
  <si>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</si>
  <si>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</si>
  <si>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</si>
  <si>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</si>
  <si>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</si>
  <si>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</si>
  <si>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</si>
  <si>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</si>
  <si>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</si>
  <si>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</si>
  <si>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</si>
  <si>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</si>
  <si>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</si>
  <si>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</si>
  <si>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</si>
  <si>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RAM Free</t>
    </r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</si>
  <si>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</si>
  <si>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</si>
  <si>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</si>
  <si>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</si>
  <si>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</si>
  <si>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</si>
  <si>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</si>
  <si>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</si>
  <si>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</si>
  <si>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</si>
  <si>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</si>
  <si>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</si>
  <si>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monkey运行过程中，以5分钟为间隔持续用dumsys meminfo抓取内存数据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</si>
  <si>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</si>
  <si>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</si>
  <si>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</si>
  <si>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</si>
  <si>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</si>
  <si>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</si>
  <si>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</si>
  <si>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</si>
  <si>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</si>
  <si>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</si>
  <si>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</si>
  <si>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</si>
  <si>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</si>
  <si>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</si>
  <si>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</si>
  <si>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</si>
  <si>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</si>
  <si>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</si>
  <si>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</si>
  <si>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</si>
  <si>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</si>
  <si>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</si>
  <si>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</si>
  <si>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</si>
  <si>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</si>
  <si>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</si>
  <si>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</si>
  <si>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</si>
  <si>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</si>
  <si>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</si>
  <si>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</si>
  <si>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</si>
  <si>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</si>
  <si>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</si>
  <si>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</si>
  <si>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</si>
  <si>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</si>
  <si>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</si>
  <si>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</si>
  <si>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强网，账号已登录，未开启人脸识别</t>
  </si>
  <si>
    <t>1.IVI开机，发送adb reboot消息
2.整个测试过程中录屏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</si>
  <si>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</si>
  <si>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</si>
  <si>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，账号未登录，未开启人脸识别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</si>
  <si>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</si>
  <si>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</si>
  <si>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</si>
  <si>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</si>
  <si>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</si>
  <si>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</si>
  <si>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人脸识别失败，显示账号二维码时间</t>
    </r>
  </si>
  <si>
    <t>15s</t>
  </si>
  <si>
    <t>账号已经录入A同学人脸，退出账号，换B同学登录账号</t>
  </si>
  <si>
    <r>
      <rPr>
        <sz val="16"/>
        <color theme="1"/>
        <rFont val="Verdana Pro"/>
      </rPr>
      <t>1.进入launcher，点击头像，进入个人中心页面</t>
    </r>
    <r>
      <rPr>
        <sz val="16"/>
        <color theme="1"/>
        <rFont val="微软雅黑"/>
        <family val="2"/>
        <charset val="134"/>
      </rPr>
      <t xml:space="preserve">
</t>
    </r>
    <r>
      <rPr>
        <sz val="16"/>
        <color theme="1"/>
        <rFont val="Verdana Pro"/>
      </rPr>
      <t>2.</t>
    </r>
    <r>
      <rPr>
        <sz val="16"/>
        <color theme="1"/>
        <rFont val="微软雅黑"/>
        <family val="2"/>
        <charset val="134"/>
      </rPr>
      <t xml:space="preserve">点击账号信息，进入账号登录页面（二维码页面）
</t>
    </r>
    <r>
      <rPr>
        <sz val="16"/>
        <color theme="1"/>
        <rFont val="Verdana Pro"/>
      </rPr>
      <t>3.</t>
    </r>
    <r>
      <rPr>
        <sz val="16"/>
        <color rgb="FFFF0000"/>
        <rFont val="微软雅黑"/>
        <family val="2"/>
        <charset val="134"/>
      </rPr>
      <t>点击人脸识别按钮，进入人脸识别页，失败后自动返回上一页（二维码页面）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</si>
  <si>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界面启动第一帧到因人脸识别失败而显示账号二维码界面稳定展示</t>
    </r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</si>
  <si>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</si>
  <si>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</si>
  <si>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</si>
  <si>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</si>
  <si>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</si>
  <si>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</si>
  <si>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</si>
  <si>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</si>
  <si>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无此功能</t>
    <phoneticPr fontId="36" type="noConversion"/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</si>
  <si>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</si>
  <si>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</si>
  <si>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</si>
  <si>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</si>
  <si>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</si>
  <si>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</si>
  <si>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</si>
  <si>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</si>
  <si>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</si>
  <si>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</si>
  <si>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</si>
  <si>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</si>
  <si>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</si>
  <si>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</si>
  <si>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</si>
  <si>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</si>
  <si>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</si>
  <si>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</si>
  <si>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</si>
  <si>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</si>
  <si>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</si>
  <si>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</si>
  <si>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</si>
  <si>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</si>
  <si>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</si>
  <si>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</si>
  <si>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</si>
  <si>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</si>
  <si>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</si>
  <si>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</si>
  <si>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</si>
  <si>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</si>
  <si>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</si>
  <si>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</si>
  <si>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</si>
  <si>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</si>
  <si>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</si>
  <si>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</si>
  <si>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</si>
  <si>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</si>
  <si>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</si>
  <si>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</si>
  <si>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</si>
  <si>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</si>
  <si>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</si>
  <si>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</si>
  <si>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</si>
  <si>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</si>
  <si>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</si>
  <si>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</si>
  <si>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</si>
  <si>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</si>
  <si>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</si>
  <si>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</si>
  <si>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</si>
  <si>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</si>
  <si>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</si>
  <si>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</si>
  <si>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</si>
  <si>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</si>
  <si>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</si>
  <si>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</si>
  <si>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</si>
  <si>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</si>
  <si>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</si>
  <si>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</si>
  <si>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随心听</t>
    </r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</si>
  <si>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-Launcher</t>
    </r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</si>
  <si>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宋体"/>
        <family val="3"/>
        <charset val="134"/>
      </rPr>
      <t>导航</t>
    </r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</si>
  <si>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输入法</t>
    </r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</si>
  <si>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</si>
  <si>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r>
      <rPr>
        <sz val="16"/>
        <color theme="1"/>
        <rFont val="Verdana Pro"/>
      </rPr>
      <t>CPU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CPU Free</t>
    </r>
  </si>
  <si>
    <t>开机3分钟后IDLE（全屏状态，打开系统设置应用，不要停留在Launcher界面）</t>
  </si>
  <si>
    <r>
      <rPr>
        <sz val="16"/>
        <color theme="1"/>
        <rFont val="Verdana Pro"/>
      </rPr>
      <t>CPU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CPU Free</t>
    </r>
  </si>
  <si>
    <t>主驾导航+主驾QQ Music+副驾爱奇艺+副驾BT耳机+VR</t>
  </si>
  <si>
    <r>
      <rPr>
        <sz val="16"/>
        <color theme="1"/>
        <rFont val="Verdana Pro"/>
      </rPr>
      <t>CPU</t>
    </r>
    <r>
      <rPr>
        <sz val="16"/>
        <color theme="1"/>
        <rFont val="等线"/>
        <family val="4"/>
        <charset val="134"/>
      </rPr>
      <t>常用场景三下归一化</t>
    </r>
    <r>
      <rPr>
        <sz val="16"/>
        <color theme="1"/>
        <rFont val="Arial"/>
        <family val="2"/>
      </rPr>
      <t>CPU Free</t>
    </r>
  </si>
  <si>
    <t>主驾导航+主驾BT Music+副驾QQ Music+副驾BT耳机+VR</t>
  </si>
  <si>
    <r>
      <rPr>
        <sz val="16"/>
        <color theme="1"/>
        <rFont val="Verdana Pro"/>
      </rPr>
      <t>RAM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RAM Free</t>
    </r>
  </si>
  <si>
    <t>主驾导航+主驾QQ Music+副驾切换主题20次</t>
  </si>
  <si>
    <r>
      <rPr>
        <sz val="16"/>
        <color theme="1"/>
        <rFont val="Verdana Pro"/>
      </rPr>
      <t>RAM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RAM Free</t>
    </r>
  </si>
  <si>
    <t>主驾导航+主驾QQ Music+副驾轮流操作空调/氛围灯/按钮等动效</t>
  </si>
  <si>
    <r>
      <rPr>
        <sz val="16"/>
        <color theme="1"/>
        <rFont val="Verdana Pro"/>
      </rPr>
      <t>RAM Worst case</t>
    </r>
    <r>
      <rPr>
        <sz val="16"/>
        <color theme="1"/>
        <rFont val="等线"/>
        <family val="4"/>
        <charset val="134"/>
      </rPr>
      <t>下归一化</t>
    </r>
    <r>
      <rPr>
        <sz val="16"/>
        <color theme="1"/>
        <rFont val="Arial"/>
        <family val="2"/>
      </rPr>
      <t>RAM Free</t>
    </r>
  </si>
  <si>
    <t>主驾导航+主驾QQ Music+副驾QQ Music+副驾BT耳机+副驾把所有应用启动一次</t>
  </si>
  <si>
    <r>
      <rPr>
        <sz val="16"/>
        <color theme="1"/>
        <rFont val="Verdana Pro"/>
      </rPr>
      <t>GPU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GPU Free</t>
    </r>
  </si>
  <si>
    <t>上电开机后100秒</t>
  </si>
  <si>
    <r>
      <rPr>
        <sz val="16"/>
        <color theme="1"/>
        <rFont val="Verdana Pro"/>
      </rPr>
      <t>GPU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GPU Free</t>
    </r>
  </si>
  <si>
    <t>开机过程中连续发起三次倒车</t>
  </si>
  <si>
    <r>
      <rPr>
        <sz val="16"/>
        <color theme="1"/>
        <rFont val="Verdana Pro"/>
      </rPr>
      <t>GPU</t>
    </r>
    <r>
      <rPr>
        <sz val="16"/>
        <color theme="1"/>
        <rFont val="等线"/>
        <family val="4"/>
        <charset val="134"/>
      </rPr>
      <t>常用场景三下归一化</t>
    </r>
    <r>
      <rPr>
        <sz val="16"/>
        <color theme="1"/>
        <rFont val="Arial"/>
        <family val="2"/>
      </rPr>
      <t>GPU Free</t>
    </r>
  </si>
  <si>
    <t>开机完成后倒车</t>
  </si>
  <si>
    <t>开机3分钟后IDLE</t>
  </si>
  <si>
    <t>导航+QQ Music+VR</t>
  </si>
  <si>
    <t>导航+BT Music+VR</t>
  </si>
  <si>
    <r>
      <rPr>
        <sz val="16"/>
        <color theme="1"/>
        <rFont val="Verdana Pro"/>
      </rPr>
      <t>CPU</t>
    </r>
    <r>
      <rPr>
        <sz val="16"/>
        <color theme="1"/>
        <rFont val="Arial"/>
        <family val="2"/>
      </rPr>
      <t> worst case</t>
    </r>
    <r>
      <rPr>
        <sz val="16"/>
        <color theme="1"/>
        <rFont val="方正书宋_GBK"/>
        <charset val="134"/>
      </rPr>
      <t>下归一化</t>
    </r>
    <r>
      <rPr>
        <sz val="16"/>
        <color theme="1"/>
        <rFont val="Arial"/>
        <family val="2"/>
      </rPr>
      <t>CPU Free</t>
    </r>
  </si>
  <si>
    <t>爱奇艺+后台导航+VR</t>
  </si>
  <si>
    <t>导航+QQ Music+切换主题20次</t>
  </si>
  <si>
    <t>导航+把所有应用启动一次</t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</si>
  <si>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</si>
  <si>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</si>
  <si>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</si>
  <si>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</si>
  <si>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</si>
  <si>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Spec</t>
  </si>
  <si>
    <t>Reference (0408)</t>
  </si>
  <si>
    <t>R06.PRO.HF3 Test Result</t>
    <phoneticPr fontId="36" type="noConversion"/>
  </si>
  <si>
    <t>R06.PRO Test Result</t>
    <phoneticPr fontId="36" type="noConversion"/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</si>
  <si>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</si>
  <si>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</si>
  <si>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</si>
  <si>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</si>
  <si>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</si>
  <si>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</si>
  <si>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</si>
  <si>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</si>
  <si>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</si>
  <si>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</si>
  <si>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</si>
  <si>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</si>
  <si>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</si>
  <si>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</si>
  <si>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</si>
  <si>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</si>
  <si>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</si>
  <si>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</si>
  <si>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</si>
  <si>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</si>
  <si>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</si>
  <si>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</si>
  <si>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</si>
  <si>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</si>
  <si>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</si>
  <si>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</si>
  <si>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</si>
  <si>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</si>
  <si>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</si>
  <si>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</si>
  <si>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</si>
  <si>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</si>
  <si>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</si>
  <si>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</si>
  <si>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</si>
  <si>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</si>
  <si>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</si>
  <si>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</si>
  <si>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</si>
  <si>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</si>
  <si>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</si>
  <si>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</si>
  <si>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</si>
  <si>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</si>
  <si>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</si>
  <si>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</si>
  <si>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</si>
  <si>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</si>
  <si>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</si>
  <si>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</si>
  <si>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</si>
  <si>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</si>
  <si>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</si>
  <si>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</si>
  <si>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</si>
  <si>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（无此功能）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</si>
  <si>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</si>
  <si>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</si>
  <si>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</si>
  <si>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</si>
  <si>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</si>
  <si>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</si>
  <si>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</si>
  <si>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</si>
  <si>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网络电台到FM/AM</t>
  </si>
  <si>
    <t>2.5s</t>
  </si>
  <si>
    <t>Baidu/Desay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</si>
  <si>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</si>
  <si>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</si>
  <si>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</si>
  <si>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</si>
  <si>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</si>
  <si>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</si>
  <si>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</si>
  <si>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</si>
  <si>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</si>
  <si>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</si>
  <si>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</si>
  <si>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</si>
  <si>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</si>
  <si>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</si>
  <si>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</si>
  <si>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</si>
  <si>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</si>
  <si>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</si>
  <si>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</si>
  <si>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</si>
  <si>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</si>
  <si>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</si>
  <si>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</si>
  <si>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</si>
  <si>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</si>
  <si>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</si>
  <si>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</si>
  <si>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</si>
  <si>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</si>
  <si>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</si>
  <si>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</si>
  <si>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</si>
  <si>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</si>
  <si>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</si>
  <si>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</si>
  <si>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</si>
  <si>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</si>
  <si>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</si>
  <si>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</si>
  <si>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</si>
  <si>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</si>
  <si>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</si>
  <si>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</si>
  <si>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</si>
  <si>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后台</t>
  </si>
  <si>
    <t>安全</t>
  </si>
  <si>
    <t>隐私列表页静置5min</t>
  </si>
  <si>
    <t>com.baidu.bodyguard</t>
  </si>
  <si>
    <t>&lt;400</t>
  </si>
  <si>
    <t>静置前台5min</t>
  </si>
  <si>
    <t>使用应用5min</t>
  </si>
  <si>
    <t>随心拍</t>
  </si>
  <si>
    <t>com.baidu.iov.dueros.camera</t>
    <phoneticPr fontId="36" type="noConversion"/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</si>
  <si>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</si>
  <si>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</si>
  <si>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</si>
  <si>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</si>
  <si>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</si>
  <si>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</si>
  <si>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</si>
  <si>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</si>
  <si>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</si>
  <si>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</si>
  <si>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</si>
  <si>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</si>
  <si>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</si>
  <si>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</si>
  <si>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</si>
  <si>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</si>
  <si>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com.baidu.che.maintenance</t>
    <phoneticPr fontId="36" type="noConversion"/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</si>
  <si>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</si>
  <si>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</si>
  <si>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</si>
  <si>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</si>
  <si>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</si>
  <si>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</si>
  <si>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</si>
  <si>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</si>
  <si>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</si>
  <si>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</si>
  <si>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</si>
  <si>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</si>
  <si>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</si>
  <si>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</si>
  <si>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</si>
  <si>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</si>
  <si>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</si>
  <si>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</si>
  <si>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</si>
  <si>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</si>
  <si>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</si>
  <si>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</si>
  <si>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</si>
  <si>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</si>
  <si>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</si>
  <si>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</si>
  <si>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</si>
  <si>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</si>
  <si>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</si>
  <si>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</si>
  <si>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</si>
  <si>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</si>
  <si>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</si>
  <si>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</si>
  <si>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</si>
  <si>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</si>
  <si>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</si>
  <si>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</si>
  <si>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</si>
  <si>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</si>
  <si>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</si>
  <si>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com.baidu.car.input</t>
  </si>
  <si>
    <t>EM</t>
  </si>
  <si>
    <t>com.baidu.dueros.enhance.memory</t>
  </si>
  <si>
    <t>电影票</t>
  </si>
  <si>
    <t>com.baidu.iov.dueros.film</t>
  </si>
  <si>
    <t>com.baidu.iov.dueros.film</t>
    <phoneticPr fontId="36" type="noConversion"/>
  </si>
  <si>
    <t>com.baidu.che.parking</t>
    <phoneticPr fontId="36" type="noConversion"/>
  </si>
  <si>
    <t>com.baidu.iov.dueros.waimai</t>
    <phoneticPr fontId="36" type="noConversion"/>
  </si>
  <si>
    <t>酒店预定</t>
  </si>
  <si>
    <t>com.baidu.iov.dueros.hotel</t>
    <phoneticPr fontId="36" type="noConversion"/>
  </si>
  <si>
    <t>唱吧</t>
  </si>
  <si>
    <t>com.baidu.iov.dueros.ktv</t>
    <phoneticPr fontId="36" type="noConversion"/>
  </si>
  <si>
    <t>CD764 R08.PRO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</si>
  <si>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</si>
  <si>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</si>
  <si>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</si>
  <si>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</si>
  <si>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</si>
  <si>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</si>
  <si>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</si>
  <si>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</si>
  <si>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</si>
  <si>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</si>
  <si>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</si>
  <si>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</si>
  <si>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</si>
  <si>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</si>
  <si>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</si>
  <si>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</si>
  <si>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</si>
  <si>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</si>
  <si>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</si>
  <si>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</si>
  <si>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</si>
  <si>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</si>
  <si>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</si>
  <si>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</si>
  <si>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</si>
  <si>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</si>
  <si>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</si>
  <si>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</si>
  <si>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</si>
  <si>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</si>
  <si>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</si>
  <si>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</si>
  <si>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</si>
  <si>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</si>
  <si>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</si>
  <si>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</si>
  <si>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</si>
  <si>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</si>
  <si>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</si>
  <si>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</si>
  <si>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</si>
  <si>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</si>
  <si>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</si>
  <si>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</si>
  <si>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</si>
  <si>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</si>
  <si>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</si>
  <si>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</si>
  <si>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</si>
  <si>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</si>
  <si>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</si>
  <si>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</si>
  <si>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</si>
  <si>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</si>
  <si>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</si>
  <si>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</si>
  <si>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</si>
  <si>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</si>
  <si>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</si>
  <si>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</si>
  <si>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</si>
  <si>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</si>
  <si>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</si>
  <si>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</si>
  <si>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</si>
  <si>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</si>
  <si>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</si>
  <si>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</si>
  <si>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</si>
  <si>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</si>
  <si>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</si>
  <si>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</si>
  <si>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</si>
  <si>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</si>
  <si>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</si>
  <si>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</si>
  <si>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</si>
  <si>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</si>
  <si>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</si>
  <si>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</si>
  <si>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</si>
  <si>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</si>
  <si>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</si>
  <si>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</si>
  <si>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</si>
  <si>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</si>
  <si>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</si>
  <si>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</si>
  <si>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</si>
  <si>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</si>
  <si>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</si>
  <si>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</si>
  <si>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</si>
  <si>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</si>
  <si>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</si>
  <si>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</si>
  <si>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</si>
  <si>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</si>
  <si>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</si>
  <si>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</si>
  <si>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</si>
  <si>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</si>
  <si>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</si>
  <si>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</si>
  <si>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</si>
  <si>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</si>
  <si>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</si>
  <si>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</si>
  <si>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</si>
  <si>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</si>
  <si>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</si>
  <si>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</si>
  <si>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</si>
  <si>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</si>
  <si>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</si>
  <si>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</si>
  <si>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</si>
  <si>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</si>
  <si>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</si>
  <si>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</si>
  <si>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</si>
  <si>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</si>
  <si>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</si>
  <si>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</si>
  <si>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</si>
  <si>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</si>
  <si>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</si>
  <si>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</si>
  <si>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</si>
  <si>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</si>
  <si>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</si>
  <si>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</si>
  <si>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</si>
  <si>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</si>
  <si>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</si>
  <si>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</si>
  <si>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</si>
  <si>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</si>
  <si>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</si>
  <si>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</si>
  <si>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</si>
  <si>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</si>
  <si>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</si>
  <si>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</si>
  <si>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</si>
  <si>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</si>
  <si>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</si>
  <si>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</si>
  <si>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</si>
  <si>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</si>
  <si>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</si>
  <si>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</si>
  <si>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</si>
  <si>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</si>
  <si>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</si>
  <si>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</si>
  <si>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</si>
  <si>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</si>
  <si>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</si>
  <si>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46M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</si>
  <si>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</si>
  <si>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</si>
  <si>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</si>
  <si>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</si>
  <si>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</si>
  <si>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</si>
  <si>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</si>
  <si>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</si>
  <si>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</si>
  <si>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</si>
  <si>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</si>
  <si>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</si>
  <si>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</si>
  <si>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</si>
  <si>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</si>
  <si>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</si>
  <si>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</si>
  <si>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</si>
  <si>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</si>
  <si>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</si>
  <si>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</si>
  <si>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</si>
  <si>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</si>
  <si>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</si>
  <si>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</si>
  <si>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</si>
  <si>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</si>
  <si>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</si>
  <si>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</si>
  <si>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</si>
  <si>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</si>
  <si>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</si>
  <si>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</si>
  <si>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</si>
  <si>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</si>
  <si>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19M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</si>
  <si>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</si>
  <si>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</si>
  <si>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</si>
  <si>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</si>
  <si>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</si>
  <si>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</si>
  <si>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</si>
  <si>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</si>
  <si>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</si>
  <si>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</si>
  <si>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</si>
  <si>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</si>
  <si>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</si>
  <si>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</si>
  <si>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</si>
  <si>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</si>
  <si>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</si>
  <si>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</si>
  <si>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</si>
  <si>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22M</t>
  </si>
  <si>
    <t>/BaiduMapAuto/lib/arm</t>
  </si>
  <si>
    <t>18M</t>
  </si>
  <si>
    <t>/BaiduMapAuto/lib</t>
  </si>
  <si>
    <t>/BaiduMapAuto/oat/arm</t>
  </si>
  <si>
    <t>2.5M</t>
  </si>
  <si>
    <t>/BaiduMapAuto/oat</t>
  </si>
  <si>
    <t>/BaiduMapAuto</t>
  </si>
  <si>
    <t>82M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</si>
  <si>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</si>
  <si>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</si>
  <si>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</si>
  <si>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</si>
  <si>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</si>
  <si>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</si>
  <si>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</si>
  <si>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</si>
  <si>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</si>
  <si>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</si>
  <si>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</si>
  <si>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</si>
  <si>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</si>
  <si>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</si>
  <si>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</si>
  <si>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</si>
  <si>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</si>
  <si>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</si>
  <si>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</si>
  <si>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</si>
  <si>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</si>
  <si>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</si>
  <si>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</si>
  <si>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</si>
  <si>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</si>
  <si>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</si>
  <si>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</si>
  <si>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</si>
  <si>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</si>
  <si>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</si>
  <si>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</si>
  <si>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</si>
  <si>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</si>
  <si>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</si>
  <si>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</si>
  <si>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</si>
  <si>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</si>
  <si>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</si>
  <si>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</si>
  <si>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</si>
  <si>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</si>
  <si>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</si>
  <si>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</si>
  <si>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</si>
  <si>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</si>
  <si>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</si>
  <si>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</si>
  <si>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</si>
  <si>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</si>
  <si>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</si>
  <si>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</si>
  <si>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</si>
  <si>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</si>
  <si>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</si>
  <si>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</si>
  <si>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</si>
  <si>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</si>
  <si>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</si>
  <si>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</si>
  <si>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</si>
  <si>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</si>
  <si>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</si>
  <si>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139M</t>
  </si>
  <si>
    <t>/CarRadio/lib/arm64</t>
  </si>
  <si>
    <t>2.4M</t>
  </si>
  <si>
    <t>/CarRadio/lib</t>
  </si>
  <si>
    <t>/CarRadio/oat/arm64</t>
  </si>
  <si>
    <t>/CarRadio/oat</t>
  </si>
  <si>
    <t>/CarRadio</t>
  </si>
  <si>
    <t>24M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</si>
  <si>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</si>
  <si>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</si>
  <si>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</si>
  <si>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</si>
  <si>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</si>
  <si>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</si>
  <si>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</si>
  <si>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</si>
  <si>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</si>
  <si>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</si>
  <si>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</si>
  <si>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</si>
  <si>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</si>
  <si>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</si>
  <si>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</si>
  <si>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</si>
  <si>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</si>
  <si>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</si>
  <si>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</si>
  <si>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</si>
  <si>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</si>
  <si>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</si>
  <si>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</si>
  <si>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</si>
  <si>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</si>
  <si>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</si>
  <si>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</si>
  <si>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</si>
  <si>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</si>
  <si>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</si>
  <si>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</si>
  <si>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</si>
  <si>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</si>
  <si>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</si>
  <si>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</si>
  <si>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8.6M</t>
  </si>
  <si>
    <t>/Dataplan/oat/arm64</t>
  </si>
  <si>
    <t>1.4M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</si>
  <si>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</si>
  <si>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</si>
  <si>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</si>
  <si>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</si>
  <si>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</si>
  <si>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</si>
  <si>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</si>
  <si>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</si>
  <si>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</si>
  <si>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</si>
  <si>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</si>
  <si>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</si>
  <si>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</si>
  <si>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</si>
  <si>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</si>
  <si>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</si>
  <si>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</si>
  <si>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</si>
  <si>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</si>
  <si>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</si>
  <si>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</si>
  <si>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</si>
  <si>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7.3M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</si>
  <si>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</si>
  <si>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</si>
  <si>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</si>
  <si>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</si>
  <si>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</si>
  <si>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</si>
  <si>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</si>
  <si>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</si>
  <si>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</si>
  <si>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</si>
  <si>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</si>
  <si>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</si>
  <si>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</si>
  <si>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</si>
  <si>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</si>
  <si>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</si>
  <si>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</si>
  <si>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</si>
  <si>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</si>
  <si>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</si>
  <si>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/DuerOSVideoPlayer/lib</t>
  </si>
  <si>
    <t>/DuerOSVideoPlayer/oat/arm</t>
  </si>
  <si>
    <t>/DuerOSVideoPlayer/oat</t>
  </si>
  <si>
    <t>/DuerOSVideoPlayer</t>
  </si>
  <si>
    <t>34M</t>
  </si>
  <si>
    <t>/EManual/oat/arm64</t>
  </si>
  <si>
    <t>6.0M</t>
  </si>
  <si>
    <t>/EManual/oat</t>
  </si>
  <si>
    <t>/EManual</t>
  </si>
  <si>
    <t>38M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</si>
  <si>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</si>
  <si>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</si>
  <si>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</si>
  <si>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</si>
  <si>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</si>
  <si>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</si>
  <si>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</si>
  <si>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/EngModeService/oat</t>
  </si>
  <si>
    <t>316K</t>
  </si>
  <si>
    <t>/EngModeService</t>
  </si>
  <si>
    <t>812K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</si>
  <si>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</si>
  <si>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</si>
  <si>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</si>
  <si>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</si>
  <si>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</si>
  <si>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</si>
  <si>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</si>
  <si>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/EnhancedMemory/lib/arm64</t>
  </si>
  <si>
    <t>1.5M</t>
  </si>
  <si>
    <t>/EnhancedMemory/lib</t>
  </si>
  <si>
    <t>/EnhancedMemory/oat/arm64</t>
  </si>
  <si>
    <t>264K</t>
  </si>
  <si>
    <t>/EnhancedMemory/oat</t>
  </si>
  <si>
    <t>268K</t>
  </si>
  <si>
    <t>/EnhancedMemory</t>
  </si>
  <si>
    <t>13M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</si>
  <si>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</si>
  <si>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</si>
  <si>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</si>
  <si>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</si>
  <si>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</si>
  <si>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</si>
  <si>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</si>
  <si>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</si>
  <si>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</si>
  <si>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</si>
  <si>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</si>
  <si>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</si>
  <si>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</si>
  <si>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</si>
  <si>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</si>
  <si>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</si>
  <si>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</si>
  <si>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</si>
  <si>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</si>
  <si>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</si>
  <si>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</si>
  <si>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</si>
  <si>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</si>
  <si>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</si>
  <si>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</si>
  <si>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</si>
  <si>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</si>
  <si>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</si>
  <si>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</si>
  <si>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</si>
  <si>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</si>
  <si>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16M</t>
  </si>
  <si>
    <t>/FordCloudService/oat/arm64</t>
  </si>
  <si>
    <t>5.0M</t>
  </si>
  <si>
    <t>/FordCloudService/oat</t>
  </si>
  <si>
    <t>/FordCloudService</t>
  </si>
  <si>
    <t>7.4M</t>
  </si>
  <si>
    <t>/FordCredit/oat/arm64</t>
  </si>
  <si>
    <t>/FordCredit/oat</t>
  </si>
  <si>
    <t>/FordCredit</t>
  </si>
  <si>
    <t>15M</t>
  </si>
  <si>
    <t>/FordVPA/oat/arm64</t>
  </si>
  <si>
    <t>4.4M</t>
  </si>
  <si>
    <t>/FordVPA/oat</t>
  </si>
  <si>
    <t>/FordVPA</t>
  </si>
  <si>
    <t>132M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</si>
  <si>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</si>
  <si>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</si>
  <si>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</si>
  <si>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</si>
  <si>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</si>
  <si>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</si>
  <si>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</si>
  <si>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</si>
  <si>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</si>
  <si>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</si>
  <si>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</si>
  <si>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</si>
  <si>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</si>
  <si>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</si>
  <si>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</si>
  <si>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</si>
  <si>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</si>
  <si>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</si>
  <si>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</si>
  <si>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</si>
  <si>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</si>
  <si>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</si>
  <si>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</si>
  <si>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</si>
  <si>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</si>
  <si>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</si>
  <si>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</si>
  <si>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</si>
  <si>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</si>
  <si>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</si>
  <si>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</si>
  <si>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</si>
  <si>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</si>
  <si>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</si>
  <si>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</si>
  <si>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</si>
  <si>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</si>
  <si>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</si>
  <si>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</si>
  <si>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</si>
  <si>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</si>
  <si>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1.2M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</si>
  <si>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</si>
  <si>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</si>
  <si>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</si>
  <si>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</si>
  <si>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</si>
  <si>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</si>
  <si>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</si>
  <si>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</si>
  <si>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</si>
  <si>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</si>
  <si>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</si>
  <si>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</si>
  <si>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</si>
  <si>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</si>
  <si>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</si>
  <si>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</si>
  <si>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</si>
  <si>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</si>
  <si>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</si>
  <si>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</si>
  <si>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</si>
  <si>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</si>
  <si>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</si>
  <si>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</si>
  <si>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4.3M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</si>
  <si>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</si>
  <si>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</si>
  <si>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</si>
  <si>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</si>
  <si>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</si>
  <si>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</si>
  <si>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</si>
  <si>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</si>
  <si>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</si>
  <si>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</si>
  <si>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</si>
  <si>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</si>
  <si>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</si>
  <si>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</si>
  <si>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</si>
  <si>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</si>
  <si>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</si>
  <si>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</si>
  <si>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</si>
  <si>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</si>
  <si>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</si>
  <si>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</si>
  <si>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</si>
  <si>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5.2M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</si>
  <si>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</si>
  <si>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</si>
  <si>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</si>
  <si>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</si>
  <si>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</si>
  <si>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</si>
  <si>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</si>
  <si>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</si>
  <si>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</si>
  <si>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</si>
  <si>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79M</t>
  </si>
  <si>
    <t>/SVSettings/lib/arm64</t>
  </si>
  <si>
    <t>2.8M</t>
  </si>
  <si>
    <t>/SVSettings/lib</t>
  </si>
  <si>
    <t>/SVSettings/oat/arm64</t>
  </si>
  <si>
    <t>7.6M</t>
  </si>
  <si>
    <t>/SVSettings/oat</t>
  </si>
  <si>
    <t>/SVSettings</t>
  </si>
  <si>
    <t>77M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</si>
  <si>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</si>
  <si>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</si>
  <si>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</si>
  <si>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</si>
  <si>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</si>
  <si>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</si>
  <si>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</si>
  <si>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21M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</si>
  <si>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</si>
  <si>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</si>
  <si>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</si>
  <si>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</si>
  <si>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</si>
  <si>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</si>
  <si>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</si>
  <si>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</si>
  <si>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</si>
  <si>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</si>
  <si>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</si>
  <si>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</si>
  <si>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</si>
  <si>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</si>
  <si>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</si>
  <si>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</si>
  <si>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</si>
  <si>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</si>
  <si>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</si>
  <si>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</si>
  <si>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</si>
  <si>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</si>
  <si>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</si>
  <si>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</si>
  <si>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</si>
  <si>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</si>
  <si>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</si>
  <si>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</si>
  <si>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</si>
  <si>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</si>
  <si>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</si>
  <si>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</si>
  <si>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</si>
  <si>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</si>
  <si>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45M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</si>
  <si>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</si>
  <si>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</si>
  <si>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</si>
  <si>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</si>
  <si>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</si>
  <si>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</si>
  <si>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</si>
  <si>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</si>
  <si>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</si>
  <si>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</si>
  <si>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</si>
  <si>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</si>
  <si>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</si>
  <si>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</si>
  <si>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</si>
  <si>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</si>
  <si>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</si>
  <si>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</si>
  <si>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</si>
  <si>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</si>
  <si>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</si>
  <si>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</si>
  <si>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</si>
  <si>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</si>
  <si>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</si>
  <si>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12M</t>
  </si>
  <si>
    <t>/radioapp/oat/arm64</t>
  </si>
  <si>
    <t>4.1M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</si>
  <si>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</si>
  <si>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</si>
  <si>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</si>
  <si>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</si>
  <si>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</si>
  <si>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</si>
  <si>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</si>
  <si>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</si>
  <si>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</si>
  <si>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</si>
  <si>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</si>
  <si>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</si>
  <si>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</si>
  <si>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</si>
  <si>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</si>
  <si>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</si>
  <si>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</si>
  <si>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</si>
  <si>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</si>
  <si>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</si>
  <si>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</si>
  <si>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</si>
  <si>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</si>
  <si>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</si>
  <si>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</si>
  <si>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</si>
  <si>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</si>
  <si>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</si>
  <si>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</si>
  <si>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</si>
  <si>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</si>
  <si>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</si>
  <si>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</si>
  <si>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</si>
  <si>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</si>
  <si>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</si>
  <si>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</si>
  <si>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</si>
  <si>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</si>
  <si>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</si>
  <si>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</si>
  <si>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</si>
  <si>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</si>
  <si>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</si>
  <si>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</si>
  <si>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</si>
  <si>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</si>
  <si>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</si>
  <si>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</si>
  <si>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</si>
  <si>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无</t>
    <phoneticPr fontId="36" type="noConversion"/>
  </si>
  <si>
    <t>后续整机跑</t>
    <phoneticPr fontId="36" type="noConversion"/>
  </si>
  <si>
    <r>
      <rPr>
        <sz val="16"/>
        <color theme="1"/>
        <rFont val="SimSun"/>
        <family val="3"/>
        <charset val="134"/>
      </rPr>
      <t>确认</t>
    </r>
    <r>
      <rPr>
        <sz val="16"/>
        <color theme="1"/>
        <rFont val="Tahoma"/>
        <family val="2"/>
      </rPr>
      <t>R06PRO</t>
    </r>
    <r>
      <rPr>
        <sz val="16"/>
        <color theme="1"/>
        <rFont val="SimSun"/>
        <family val="3"/>
        <charset val="134"/>
      </rPr>
      <t>的测试结果，已复测更新</t>
    </r>
    <phoneticPr fontId="36" type="noConversion"/>
  </si>
  <si>
    <r>
      <rPr>
        <sz val="16"/>
        <color theme="1"/>
        <rFont val="SimSun"/>
        <family val="3"/>
        <charset val="134"/>
      </rPr>
      <t>复核</t>
    </r>
    <r>
      <rPr>
        <sz val="16"/>
        <color theme="1"/>
        <rFont val="Tahoma"/>
        <family val="2"/>
      </rPr>
      <t>R06</t>
    </r>
    <r>
      <rPr>
        <sz val="16"/>
        <color theme="1"/>
        <rFont val="SimSun"/>
        <family val="3"/>
        <charset val="134"/>
      </rPr>
      <t>版本，已复测更新</t>
    </r>
    <phoneticPr fontId="36" type="noConversion"/>
  </si>
  <si>
    <r>
      <rPr>
        <sz val="16"/>
        <color theme="1"/>
        <rFont val="SimSun"/>
        <family val="3"/>
        <charset val="134"/>
      </rPr>
      <t>数据已除</t>
    </r>
    <r>
      <rPr>
        <sz val="16"/>
        <color theme="1"/>
        <rFont val="Tahoma"/>
        <family val="2"/>
      </rPr>
      <t>4</t>
    </r>
    <phoneticPr fontId="36" type="noConversion"/>
  </si>
  <si>
    <r>
      <rPr>
        <sz val="16"/>
        <color theme="1"/>
        <rFont val="SimSun"/>
        <family val="3"/>
        <charset val="134"/>
      </rPr>
      <t>已复测</t>
    </r>
    <r>
      <rPr>
        <sz val="16"/>
        <color theme="1"/>
        <rFont val="Tahoma"/>
        <family val="2"/>
      </rPr>
      <t xml:space="preserve"> R06 HF3，已更新数据</t>
    </r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</si>
</sst>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0"/>
  </numFmts>
  <fonts count="42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</font>
    <font>
      <sz val="16"/>
      <color theme="1"/>
      <name val="微软雅黑"/>
      <family val="2"/>
      <charset val="134"/>
    </font>
    <font>
      <b/>
      <sz val="16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6"/>
      <color rgb="FFFF0000"/>
      <name val="Aharoni"/>
    </font>
    <font>
      <b/>
      <sz val="18"/>
      <color theme="1"/>
      <name val="Verdana Pro"/>
    </font>
    <font>
      <sz val="11"/>
      <color rgb="FFFF0000"/>
      <name val="等线"/>
      <family val="4"/>
      <charset val="134"/>
      <scheme val="minor"/>
    </font>
    <font>
      <sz val="11"/>
      <name val="Abadi"/>
      <family val="2"/>
    </font>
    <font>
      <sz val="11"/>
      <color theme="1"/>
      <name val="Abadi"/>
    </font>
    <font>
      <sz val="11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6"/>
      <color rgb="FFFF0000"/>
      <name val="Verdana Pro"/>
    </font>
    <font>
      <sz val="16"/>
      <color rgb="FFFF0000"/>
      <name val="微软雅黑"/>
      <family val="2"/>
      <charset val="134"/>
    </font>
    <font>
      <sz val="16"/>
      <color theme="1"/>
      <name val="等线"/>
      <family val="4"/>
      <charset val="134"/>
    </font>
    <font>
      <sz val="16"/>
      <color theme="1"/>
      <name val="Arial"/>
      <family val="2"/>
    </font>
    <font>
      <sz val="16"/>
      <color theme="1"/>
      <name val="方正书宋_GBK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name val="Abadi"/>
    </font>
    <font>
      <b/>
      <sz val="16"/>
      <color theme="1"/>
      <name val="Verdana Pro"/>
    </font>
    <font>
      <sz val="9"/>
      <name val="等线"/>
      <family val="4"/>
      <charset val="134"/>
      <scheme val="minor"/>
    </font>
    <font>
      <sz val="14"/>
      <color theme="1"/>
      <name val="Verdana Pro"/>
    </font>
    <font>
      <sz val="11"/>
      <color rgb="FF000000"/>
      <name val="等线"/>
      <family val="4"/>
      <charset val="134"/>
      <scheme val="minor"/>
    </font>
    <font>
      <sz val="16"/>
      <color theme="1"/>
      <name val="SimSun"/>
      <family val="3"/>
      <charset val="134"/>
    </font>
    <font>
      <sz val="16"/>
      <color theme="1"/>
      <name val="Tahoma"/>
      <family val="2"/>
    </font>
    <font>
      <sz val="16"/>
      <color theme="1"/>
      <name val="Aharon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</cellStyleXfs>
  <cellXfs count="145">
    <xf numFmtId="0" fontId="0" fillId="0" borderId="0" xfId="0"/>
    <xf numFmtId="0" fontId="33" fillId="0" borderId="0" xfId="6"/>
    <xf numFmtId="0" fontId="1" fillId="0" borderId="0" xfId="6" applyFont="1"/>
    <xf numFmtId="0" fontId="2" fillId="0" borderId="0" xfId="6" applyFont="1"/>
    <xf numFmtId="0" fontId="33" fillId="0" borderId="1" xfId="6" applyBorder="1" applyAlignment="1">
      <alignment vertical="center"/>
    </xf>
    <xf numFmtId="0" fontId="33" fillId="0" borderId="1" xfId="6" applyBorder="1" applyAlignment="1">
      <alignment horizontal="center" vertical="center" wrapText="1"/>
    </xf>
    <xf numFmtId="10" fontId="33" fillId="0" borderId="1" xfId="6" applyNumberFormat="1" applyBorder="1" applyAlignment="1">
      <alignment vertical="center"/>
    </xf>
    <xf numFmtId="0" fontId="33" fillId="0" borderId="2" xfId="6" applyBorder="1" applyAlignment="1">
      <alignment horizontal="center" vertical="center" wrapText="1"/>
    </xf>
    <xf numFmtId="0" fontId="33" fillId="0" borderId="3" xfId="6" applyBorder="1" applyAlignment="1">
      <alignment horizontal="center" vertical="center" wrapText="1"/>
    </xf>
    <xf numFmtId="10" fontId="33" fillId="0" borderId="0" xfId="6" applyNumberFormat="1"/>
    <xf numFmtId="0" fontId="33" fillId="0" borderId="2" xfId="6" applyBorder="1" applyAlignment="1">
      <alignment horizontal="center" vertical="center"/>
    </xf>
    <xf numFmtId="0" fontId="33" fillId="0" borderId="1" xfId="6" applyBorder="1"/>
    <xf numFmtId="0" fontId="33" fillId="0" borderId="3" xfId="6" applyBorder="1" applyAlignment="1">
      <alignment horizontal="center" vertical="center"/>
    </xf>
    <xf numFmtId="0" fontId="33" fillId="0" borderId="1" xfId="6" applyBorder="1" applyAlignment="1">
      <alignment horizontal="left" vertical="top"/>
    </xf>
    <xf numFmtId="0" fontId="33" fillId="0" borderId="1" xfId="6" applyBorder="1" applyAlignment="1">
      <alignment horizontal="left"/>
    </xf>
    <xf numFmtId="0" fontId="33" fillId="0" borderId="4" xfId="6" applyBorder="1" applyAlignment="1">
      <alignment horizontal="center" vertical="center"/>
    </xf>
    <xf numFmtId="0" fontId="1" fillId="2" borderId="1" xfId="1" applyFont="1" applyFill="1" applyBorder="1"/>
    <xf numFmtId="0" fontId="3" fillId="0" borderId="1" xfId="1" applyFont="1" applyBorder="1" applyAlignment="1">
      <alignment horizontal="justify" vertical="center"/>
    </xf>
    <xf numFmtId="0" fontId="33" fillId="0" borderId="1" xfId="1" applyBorder="1"/>
    <xf numFmtId="0" fontId="33" fillId="0" borderId="0" xfId="4" applyAlignment="1">
      <alignment vertical="center" wrapText="1"/>
    </xf>
    <xf numFmtId="0" fontId="33" fillId="0" borderId="0" xfId="4" applyAlignment="1">
      <alignment wrapText="1"/>
    </xf>
    <xf numFmtId="0" fontId="33" fillId="0" borderId="0" xfId="4" applyAlignment="1">
      <alignment horizontal="left" vertical="center" wrapText="1"/>
    </xf>
    <xf numFmtId="0" fontId="33" fillId="0" borderId="0" xfId="4" applyAlignment="1">
      <alignment horizontal="center" vertical="center" wrapText="1"/>
    </xf>
    <xf numFmtId="0" fontId="4" fillId="3" borderId="1" xfId="4" applyFont="1" applyFill="1" applyBorder="1" applyAlignment="1">
      <alignment horizontal="left" wrapText="1"/>
    </xf>
    <xf numFmtId="0" fontId="4" fillId="3" borderId="1" xfId="4" applyFont="1" applyFill="1" applyBorder="1" applyAlignment="1">
      <alignment horizontal="left" vertical="center" wrapText="1"/>
    </xf>
    <xf numFmtId="0" fontId="33" fillId="0" borderId="1" xfId="3" applyBorder="1" applyAlignment="1">
      <alignment wrapText="1"/>
    </xf>
    <xf numFmtId="0" fontId="33" fillId="0" borderId="1" xfId="4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3" fillId="0" borderId="2" xfId="4" applyBorder="1" applyAlignment="1">
      <alignment horizontal="left" vertical="center" wrapText="1"/>
    </xf>
    <xf numFmtId="0" fontId="0" fillId="0" borderId="1" xfId="0" applyBorder="1"/>
    <xf numFmtId="0" fontId="33" fillId="0" borderId="4" xfId="4" applyBorder="1" applyAlignment="1">
      <alignment horizontal="left" vertical="center" wrapText="1"/>
    </xf>
    <xf numFmtId="0" fontId="33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33" fillId="4" borderId="1" xfId="4" applyFill="1" applyBorder="1" applyAlignment="1">
      <alignment horizontal="left" vertical="center" wrapText="1"/>
    </xf>
    <xf numFmtId="0" fontId="33" fillId="0" borderId="1" xfId="3" applyBorder="1" applyAlignment="1">
      <alignment horizontal="left" vertical="center" wrapText="1"/>
    </xf>
    <xf numFmtId="0" fontId="33" fillId="0" borderId="1" xfId="4" applyBorder="1" applyAlignment="1">
      <alignment wrapText="1"/>
    </xf>
    <xf numFmtId="0" fontId="33" fillId="0" borderId="1" xfId="4" applyBorder="1" applyAlignment="1">
      <alignment vertical="center" wrapText="1"/>
    </xf>
    <xf numFmtId="176" fontId="33" fillId="0" borderId="1" xfId="4" applyNumberFormat="1" applyBorder="1" applyAlignment="1">
      <alignment horizontal="center" vertical="center" wrapText="1"/>
    </xf>
    <xf numFmtId="0" fontId="33" fillId="0" borderId="2" xfId="4" applyBorder="1" applyAlignment="1">
      <alignment vertical="center" wrapText="1"/>
    </xf>
    <xf numFmtId="0" fontId="33" fillId="0" borderId="4" xfId="4" applyBorder="1" applyAlignment="1">
      <alignment vertical="center" wrapText="1"/>
    </xf>
    <xf numFmtId="0" fontId="33" fillId="5" borderId="1" xfId="4" applyFill="1" applyBorder="1" applyAlignment="1">
      <alignment horizontal="left" vertical="center" wrapText="1"/>
    </xf>
    <xf numFmtId="176" fontId="33" fillId="4" borderId="1" xfId="4" applyNumberFormat="1" applyFill="1" applyBorder="1" applyAlignment="1">
      <alignment horizontal="left" vertical="center" wrapText="1"/>
    </xf>
    <xf numFmtId="0" fontId="33" fillId="4" borderId="1" xfId="4" applyFill="1" applyBorder="1" applyAlignment="1">
      <alignment vertical="center" wrapText="1"/>
    </xf>
    <xf numFmtId="0" fontId="6" fillId="0" borderId="1" xfId="6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8" fillId="5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 readingOrder="1"/>
    </xf>
    <xf numFmtId="0" fontId="12" fillId="0" borderId="1" xfId="0" applyFont="1" applyBorder="1" applyAlignment="1">
      <alignment horizontal="left" wrapText="1" readingOrder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0" borderId="0" xfId="0" applyFont="1"/>
    <xf numFmtId="0" fontId="17" fillId="0" borderId="0" xfId="0" applyFont="1"/>
    <xf numFmtId="0" fontId="18" fillId="0" borderId="1" xfId="0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37" fillId="0" borderId="1" xfId="0" applyFont="1" applyBorder="1" applyAlignment="1">
      <alignment horizontal="center" vertical="center" wrapText="1"/>
    </xf>
    <xf numFmtId="10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2" fontId="37" fillId="0" borderId="1" xfId="0" applyNumberFormat="1" applyFont="1" applyBorder="1" applyAlignment="1">
      <alignment horizontal="center" vertical="center"/>
    </xf>
    <xf numFmtId="0" fontId="4" fillId="3" borderId="2" xfId="4" applyFont="1" applyFill="1" applyBorder="1" applyAlignment="1">
      <alignment horizontal="left" vertical="center" wrapText="1"/>
    </xf>
    <xf numFmtId="0" fontId="21" fillId="0" borderId="1" xfId="4" applyFont="1" applyBorder="1" applyAlignment="1">
      <alignment wrapText="1"/>
    </xf>
    <xf numFmtId="0" fontId="21" fillId="0" borderId="1" xfId="1" applyFont="1" applyBorder="1"/>
    <xf numFmtId="0" fontId="38" fillId="0" borderId="1" xfId="1" applyFont="1" applyBorder="1"/>
    <xf numFmtId="0" fontId="33" fillId="0" borderId="1" xfId="1" applyBorder="1" applyAlignment="1">
      <alignment wrapText="1"/>
    </xf>
    <xf numFmtId="0" fontId="33" fillId="0" borderId="2" xfId="6" applyBorder="1"/>
    <xf numFmtId="0" fontId="11" fillId="5" borderId="1" xfId="0" applyFont="1" applyFill="1" applyBorder="1" applyAlignment="1">
      <alignment wrapText="1"/>
    </xf>
    <xf numFmtId="0" fontId="33" fillId="0" borderId="1" xfId="4" applyBorder="1" applyAlignment="1">
      <alignment horizontal="left" wrapText="1"/>
    </xf>
    <xf numFmtId="0" fontId="33" fillId="0" borderId="2" xfId="4" applyBorder="1" applyAlignment="1">
      <alignment horizontal="left" wrapText="1"/>
    </xf>
    <xf numFmtId="0" fontId="33" fillId="0" borderId="4" xfId="4" applyBorder="1" applyAlignment="1">
      <alignment horizontal="left" wrapText="1"/>
    </xf>
    <xf numFmtId="0" fontId="21" fillId="0" borderId="1" xfId="4" applyFont="1" applyBorder="1" applyAlignment="1">
      <alignment horizontal="left" wrapText="1"/>
    </xf>
    <xf numFmtId="0" fontId="33" fillId="0" borderId="0" xfId="4" applyAlignment="1">
      <alignment horizontal="left" wrapText="1"/>
    </xf>
    <xf numFmtId="0" fontId="33" fillId="0" borderId="1" xfId="4" applyBorder="1" applyAlignment="1">
      <alignment horizontal="left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177" fontId="33" fillId="0" borderId="1" xfId="4" applyNumberFormat="1" applyBorder="1" applyAlignment="1">
      <alignment horizontal="left" vertical="center" wrapText="1"/>
    </xf>
    <xf numFmtId="177" fontId="33" fillId="0" borderId="1" xfId="4" applyNumberFormat="1" applyBorder="1" applyAlignment="1">
      <alignment horizontal="left" wrapText="1"/>
    </xf>
    <xf numFmtId="177" fontId="33" fillId="0" borderId="4" xfId="4" applyNumberFormat="1" applyBorder="1" applyAlignment="1">
      <alignment horizontal="left" wrapText="1"/>
    </xf>
    <xf numFmtId="177" fontId="21" fillId="0" borderId="1" xfId="4" applyNumberFormat="1" applyFont="1" applyBorder="1" applyAlignment="1">
      <alignment wrapText="1"/>
    </xf>
    <xf numFmtId="177" fontId="33" fillId="4" borderId="1" xfId="4" applyNumberFormat="1" applyFill="1" applyBorder="1" applyAlignment="1">
      <alignment horizontal="left" vertical="center" wrapText="1"/>
    </xf>
    <xf numFmtId="177" fontId="21" fillId="0" borderId="1" xfId="4" applyNumberFormat="1" applyFont="1" applyBorder="1" applyAlignment="1">
      <alignment horizontal="left" wrapText="1"/>
    </xf>
    <xf numFmtId="2" fontId="33" fillId="0" borderId="1" xfId="4" applyNumberFormat="1" applyBorder="1" applyAlignment="1">
      <alignment horizontal="left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left" vertical="center" wrapText="1" readingOrder="1"/>
    </xf>
    <xf numFmtId="0" fontId="11" fillId="5" borderId="1" xfId="0" applyFont="1" applyFill="1" applyBorder="1" applyAlignment="1">
      <alignment horizontal="center" vertical="center" wrapText="1"/>
    </xf>
    <xf numFmtId="177" fontId="37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177" fontId="11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wrapText="1" readingOrder="1"/>
    </xf>
    <xf numFmtId="0" fontId="11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/>
    </xf>
    <xf numFmtId="0" fontId="41" fillId="5" borderId="0" xfId="0" applyFont="1" applyFill="1"/>
    <xf numFmtId="0" fontId="41" fillId="0" borderId="0" xfId="0" applyFont="1"/>
    <xf numFmtId="0" fontId="11" fillId="0" borderId="1" xfId="0" applyFont="1" applyFill="1" applyBorder="1" applyAlignment="1">
      <alignment wrapText="1"/>
    </xf>
    <xf numFmtId="0" fontId="8" fillId="0" borderId="0" xfId="0" applyFont="1" applyFill="1"/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33" fillId="0" borderId="2" xfId="4" applyBorder="1" applyAlignment="1">
      <alignment horizontal="left" vertical="top" wrapText="1"/>
    </xf>
    <xf numFmtId="0" fontId="33" fillId="0" borderId="4" xfId="4" applyBorder="1" applyAlignment="1">
      <alignment horizontal="left" vertical="top" wrapText="1"/>
    </xf>
    <xf numFmtId="0" fontId="33" fillId="0" borderId="3" xfId="4" applyBorder="1" applyAlignment="1">
      <alignment horizontal="left" vertical="top" wrapText="1"/>
    </xf>
    <xf numFmtId="0" fontId="33" fillId="0" borderId="2" xfId="4" applyBorder="1" applyAlignment="1">
      <alignment horizontal="center" vertical="top" wrapText="1"/>
    </xf>
    <xf numFmtId="0" fontId="33" fillId="0" borderId="3" xfId="4" applyBorder="1" applyAlignment="1">
      <alignment horizontal="center" vertical="top" wrapText="1"/>
    </xf>
    <xf numFmtId="0" fontId="33" fillId="0" borderId="4" xfId="4" applyBorder="1" applyAlignment="1">
      <alignment horizontal="center" vertical="top" wrapText="1"/>
    </xf>
    <xf numFmtId="0" fontId="33" fillId="0" borderId="1" xfId="4" applyBorder="1" applyAlignment="1">
      <alignment horizontal="left" vertical="top" wrapText="1"/>
    </xf>
    <xf numFmtId="0" fontId="33" fillId="0" borderId="1" xfId="4" applyBorder="1" applyAlignment="1">
      <alignment horizontal="left" vertical="center" wrapText="1"/>
    </xf>
    <xf numFmtId="0" fontId="33" fillId="0" borderId="2" xfId="4" applyBorder="1" applyAlignment="1">
      <alignment horizontal="left" vertical="center" wrapText="1"/>
    </xf>
    <xf numFmtId="0" fontId="33" fillId="0" borderId="4" xfId="4" applyBorder="1" applyAlignment="1">
      <alignment horizontal="left" vertical="center" wrapText="1"/>
    </xf>
    <xf numFmtId="0" fontId="33" fillId="0" borderId="3" xfId="4" applyBorder="1" applyAlignment="1">
      <alignment horizontal="left" vertical="center" wrapText="1"/>
    </xf>
    <xf numFmtId="0" fontId="33" fillId="0" borderId="2" xfId="4" applyBorder="1" applyAlignment="1">
      <alignment vertical="top" wrapText="1"/>
    </xf>
    <xf numFmtId="0" fontId="33" fillId="0" borderId="4" xfId="4" applyBorder="1" applyAlignment="1">
      <alignment vertical="top" wrapText="1"/>
    </xf>
  </cellXfs>
  <cellStyles count="7">
    <cellStyle name="Normal 2" xfId="6" xr:uid="{00000000-0005-0000-0000-000032000000}"/>
    <cellStyle name="常规" xfId="0" builtinId="0"/>
    <cellStyle name="常规 2" xfId="5" xr:uid="{00000000-0005-0000-0000-000005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31"/>
  <sheetViews>
    <sheetView workbookViewId="0">
      <selection activeCell="B37" sqref="B37"/>
    </sheetView>
  </sheetViews>
  <sheetFormatPr baseColWidth="10" defaultColWidth="9" defaultRowHeight="15"/>
  <cols>
    <col min="1" max="1" width="37" customWidth="1"/>
    <col min="2" max="2" width="79.5" customWidth="1"/>
    <col min="3" max="3" width="36.5" customWidth="1"/>
  </cols>
  <sheetData>
    <row r="1" spans="1:3">
      <c r="A1" s="29" t="s">
        <v>0</v>
      </c>
      <c r="B1" s="29"/>
      <c r="C1" t="s">
        <v>1</v>
      </c>
    </row>
    <row r="2" spans="1:3">
      <c r="A2" s="29" t="s">
        <v>2</v>
      </c>
      <c r="B2" s="29" t="s">
        <v>3</v>
      </c>
      <c r="C2" s="74" t="s">
        <v>4</v>
      </c>
    </row>
    <row r="3" spans="1:3">
      <c r="A3" s="29" t="s">
        <v>5</v>
      </c>
      <c r="B3" s="29" t="s">
        <v>6</v>
      </c>
    </row>
    <row r="4" spans="1:3">
      <c r="A4" s="29" t="s">
        <v>7</v>
      </c>
      <c r="B4" s="29" t="s">
        <v>8</v>
      </c>
    </row>
    <row r="5" spans="1:3">
      <c r="A5" s="29" t="s">
        <v>9</v>
      </c>
      <c r="B5" s="29" t="s">
        <v>10</v>
      </c>
    </row>
    <row r="6" spans="1:3">
      <c r="A6" s="29" t="s">
        <v>11</v>
      </c>
      <c r="B6" s="29" t="s">
        <v>12</v>
      </c>
    </row>
    <row r="7" spans="1:3">
      <c r="A7" s="29" t="s">
        <v>13</v>
      </c>
      <c r="B7" s="29" t="s">
        <v>14</v>
      </c>
    </row>
    <row r="8" spans="1:3">
      <c r="A8" s="29" t="s">
        <v>15</v>
      </c>
      <c r="B8" s="29" t="s">
        <v>16</v>
      </c>
    </row>
    <row r="9" spans="1:3">
      <c r="A9" s="29" t="s">
        <v>17</v>
      </c>
      <c r="B9" s="29" t="s">
        <v>18</v>
      </c>
    </row>
    <row r="10" spans="1:3">
      <c r="A10" s="29" t="s">
        <v>19</v>
      </c>
      <c r="B10" s="29" t="s">
        <v>20</v>
      </c>
    </row>
    <row r="12" spans="1:3">
      <c r="A12" s="29" t="s">
        <v>21</v>
      </c>
      <c r="B12" s="29"/>
    </row>
    <row r="13" spans="1:3">
      <c r="A13" s="29" t="s">
        <v>2</v>
      </c>
      <c r="B13" s="29" t="s">
        <v>22</v>
      </c>
    </row>
    <row r="14" spans="1:3">
      <c r="A14" s="29" t="s">
        <v>5</v>
      </c>
      <c r="B14" s="29" t="s">
        <v>23</v>
      </c>
    </row>
    <row r="15" spans="1:3">
      <c r="A15" s="29" t="s">
        <v>7</v>
      </c>
      <c r="B15" s="29" t="s">
        <v>24</v>
      </c>
    </row>
    <row r="16" spans="1:3">
      <c r="A16" s="29" t="s">
        <v>25</v>
      </c>
      <c r="B16" s="29" t="s">
        <v>26</v>
      </c>
    </row>
    <row r="17" spans="1:2">
      <c r="A17" s="29" t="s">
        <v>9</v>
      </c>
      <c r="B17" s="29" t="s">
        <v>27</v>
      </c>
    </row>
    <row r="18" spans="1:2">
      <c r="A18" s="29" t="s">
        <v>13</v>
      </c>
      <c r="B18" s="29" t="s">
        <v>28</v>
      </c>
    </row>
    <row r="19" spans="1:2">
      <c r="A19" s="29" t="s">
        <v>15</v>
      </c>
      <c r="B19" s="29" t="s">
        <v>16</v>
      </c>
    </row>
    <row r="20" spans="1:2">
      <c r="A20" s="29" t="s">
        <v>17</v>
      </c>
      <c r="B20" s="29" t="s">
        <v>18</v>
      </c>
    </row>
    <row r="21" spans="1:2">
      <c r="A21" s="29" t="s">
        <v>19</v>
      </c>
      <c r="B21" s="29" t="s">
        <v>20</v>
      </c>
    </row>
    <row r="23" spans="1:2">
      <c r="A23" t="s">
        <v>29</v>
      </c>
    </row>
    <row r="24" spans="1:2" ht="16">
      <c r="A24" s="75" t="s">
        <v>2</v>
      </c>
      <c r="B24" s="76" t="s">
        <v>30</v>
      </c>
    </row>
    <row r="25" spans="1:2">
      <c r="A25" s="75" t="s">
        <v>5</v>
      </c>
      <c r="B25" s="75" t="s">
        <v>31</v>
      </c>
    </row>
    <row r="26" spans="1:2">
      <c r="A26" s="75" t="s">
        <v>7</v>
      </c>
      <c r="B26" s="75" t="s">
        <v>32</v>
      </c>
    </row>
    <row r="27" spans="1:2">
      <c r="A27" s="75" t="s">
        <v>9</v>
      </c>
      <c r="B27" s="75" t="s">
        <v>33</v>
      </c>
    </row>
    <row r="28" spans="1:2">
      <c r="A28" s="75" t="s">
        <v>13</v>
      </c>
      <c r="B28" s="75" t="s">
        <v>34</v>
      </c>
    </row>
    <row r="29" spans="1:2">
      <c r="A29" s="75" t="s">
        <v>15</v>
      </c>
      <c r="B29" s="75" t="s">
        <v>35</v>
      </c>
    </row>
    <row r="30" spans="1:2">
      <c r="A30" s="75" t="s">
        <v>17</v>
      </c>
      <c r="B30" s="77" t="s">
        <v>18</v>
      </c>
    </row>
    <row r="31" spans="1:2">
      <c r="A31" s="75" t="s">
        <v>19</v>
      </c>
      <c r="B31" s="77" t="s">
        <v>20</v>
      </c>
    </row>
  </sheetData>
  <phoneticPr fontId="36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T130"/>
  <sheetViews>
    <sheetView tabSelected="1" zoomScale="50" zoomScaleNormal="80" workbookViewId="0">
      <pane ySplit="1" topLeftCell="A80" activePane="bottomLeft" state="frozen"/>
      <selection pane="bottomLeft" activeCell="I90" sqref="I90"/>
    </sheetView>
  </sheetViews>
  <sheetFormatPr baseColWidth="10" defaultColWidth="9.1640625" defaultRowHeight="60" customHeight="1"/>
  <cols>
    <col min="1" max="1" width="60.5" style="47" customWidth="1"/>
    <col min="2" max="2" width="13.1640625" style="47" customWidth="1"/>
    <col min="3" max="3" width="63.83203125" style="47" customWidth="1"/>
    <col min="4" max="4" width="19.5" style="47" hidden="1" customWidth="1"/>
    <col min="5" max="5" width="21" style="48" hidden="1" customWidth="1"/>
    <col min="6" max="6" width="16.5" style="48" hidden="1" customWidth="1"/>
    <col min="7" max="7" width="17.5" style="48" customWidth="1"/>
    <col min="8" max="8" width="15.33203125" style="48" customWidth="1"/>
    <col min="9" max="9" width="30.1640625" style="48" bestFit="1" customWidth="1"/>
    <col min="10" max="10" width="24.5" style="48" bestFit="1" customWidth="1"/>
    <col min="11" max="11" width="15.33203125" style="48" customWidth="1"/>
    <col min="12" max="13" width="14.5" style="48" customWidth="1"/>
    <col min="14" max="14" width="18" style="47" customWidth="1"/>
    <col min="15" max="15" width="45.5" style="49" customWidth="1"/>
    <col min="16" max="16" width="42.6640625" style="47" customWidth="1"/>
    <col min="17" max="17" width="81.5" style="47" customWidth="1"/>
    <col min="18" max="18" width="20.1640625" customWidth="1"/>
    <col min="19" max="16384" width="9.1640625" style="44"/>
  </cols>
  <sheetData>
    <row r="1" spans="1:19" ht="60" customHeight="1">
      <c r="A1" s="50" t="s">
        <v>36</v>
      </c>
      <c r="B1" s="51" t="s">
        <v>37</v>
      </c>
      <c r="C1" s="51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45</v>
      </c>
      <c r="K1" s="52" t="s">
        <v>46</v>
      </c>
      <c r="L1" s="61" t="s">
        <v>47</v>
      </c>
      <c r="M1" s="52" t="s">
        <v>48</v>
      </c>
      <c r="N1" s="52" t="s">
        <v>49</v>
      </c>
      <c r="O1" s="66" t="s">
        <v>50</v>
      </c>
      <c r="P1" s="67" t="s">
        <v>51</v>
      </c>
      <c r="Q1" s="67" t="s">
        <v>52</v>
      </c>
      <c r="R1" s="53" t="s">
        <v>53</v>
      </c>
    </row>
    <row r="2" spans="1:19" s="45" customFormat="1" ht="99" customHeight="1">
      <c r="A2" s="53" t="s">
        <v>54</v>
      </c>
      <c r="B2" s="54">
        <v>5</v>
      </c>
      <c r="C2" s="54" t="s">
        <v>55</v>
      </c>
      <c r="D2" s="55">
        <v>1</v>
      </c>
      <c r="E2" s="55"/>
      <c r="F2" s="55"/>
      <c r="G2" s="55"/>
      <c r="H2" s="55" t="s">
        <v>56</v>
      </c>
      <c r="I2" s="55">
        <f>(12.123+10.217+13.072)/3</f>
        <v>11.804</v>
      </c>
      <c r="J2" s="55">
        <v>11.805</v>
      </c>
      <c r="K2" s="55">
        <f>I2-J2</f>
        <v>-9.9999999999944578E-4</v>
      </c>
      <c r="L2" s="62" t="s">
        <v>57</v>
      </c>
      <c r="M2" s="55" t="s">
        <v>58</v>
      </c>
      <c r="N2" s="55" t="s">
        <v>59</v>
      </c>
      <c r="O2" s="68" t="s">
        <v>60</v>
      </c>
      <c r="P2" s="58" t="s">
        <v>61</v>
      </c>
      <c r="Q2" s="58" t="s">
        <v>62</v>
      </c>
      <c r="R2" s="53" t="s">
        <v>63</v>
      </c>
    </row>
    <row r="3" spans="1:19" s="45" customFormat="1" ht="60" customHeight="1">
      <c r="A3" s="53" t="s">
        <v>54</v>
      </c>
      <c r="B3" s="54">
        <v>6</v>
      </c>
      <c r="C3" s="54" t="s">
        <v>64</v>
      </c>
      <c r="D3" s="55">
        <v>1</v>
      </c>
      <c r="E3" s="55"/>
      <c r="F3" s="55"/>
      <c r="G3" s="55"/>
      <c r="H3" s="55" t="s">
        <v>65</v>
      </c>
      <c r="I3" s="55">
        <f>(1.255+2.383+1.897)/3</f>
        <v>1.845</v>
      </c>
      <c r="J3" s="95">
        <f>(1.255+2.387+1.897)/3</f>
        <v>1.8463333333333332</v>
      </c>
      <c r="K3" s="55">
        <f t="shared" ref="K3:K66" si="0">I3-J3</f>
        <v>-1.3333333333331865E-3</v>
      </c>
      <c r="L3" s="62" t="s">
        <v>66</v>
      </c>
      <c r="M3" s="55" t="s">
        <v>58</v>
      </c>
      <c r="N3" s="55" t="s">
        <v>59</v>
      </c>
      <c r="O3" s="68"/>
      <c r="P3" s="58" t="s">
        <v>67</v>
      </c>
      <c r="Q3" s="58" t="s">
        <v>68</v>
      </c>
      <c r="R3" s="53" t="s">
        <v>63</v>
      </c>
    </row>
    <row r="4" spans="1:19" s="45" customFormat="1" ht="60" customHeight="1">
      <c r="A4" s="53" t="s">
        <v>54</v>
      </c>
      <c r="B4" s="54">
        <v>7</v>
      </c>
      <c r="C4" s="54" t="s">
        <v>69</v>
      </c>
      <c r="D4" s="55">
        <v>1</v>
      </c>
      <c r="E4" s="55"/>
      <c r="F4" s="55"/>
      <c r="G4" s="55"/>
      <c r="H4" s="55" t="s">
        <v>65</v>
      </c>
      <c r="I4" s="55">
        <f>(3.34+3.802+4.852)/3</f>
        <v>3.9979999999999998</v>
      </c>
      <c r="J4" s="55">
        <f>(3.37+3.802+4.852)/3</f>
        <v>4.008</v>
      </c>
      <c r="K4" s="55">
        <f t="shared" si="0"/>
        <v>-1.0000000000000231E-2</v>
      </c>
      <c r="L4" s="62" t="s">
        <v>66</v>
      </c>
      <c r="M4" s="55" t="s">
        <v>58</v>
      </c>
      <c r="N4" s="55" t="s">
        <v>59</v>
      </c>
      <c r="O4" s="68"/>
      <c r="P4" s="58" t="s">
        <v>70</v>
      </c>
      <c r="Q4" s="58" t="s">
        <v>71</v>
      </c>
      <c r="R4" s="53" t="s">
        <v>63</v>
      </c>
    </row>
    <row r="5" spans="1:19" s="45" customFormat="1" ht="60" customHeight="1">
      <c r="A5" s="53" t="s">
        <v>54</v>
      </c>
      <c r="B5" s="54">
        <v>10</v>
      </c>
      <c r="C5" s="54" t="s">
        <v>72</v>
      </c>
      <c r="D5" s="55">
        <v>1.5</v>
      </c>
      <c r="E5" s="55" t="s">
        <v>73</v>
      </c>
      <c r="F5" s="55" t="s">
        <v>73</v>
      </c>
      <c r="G5" s="55"/>
      <c r="H5" s="55" t="s">
        <v>74</v>
      </c>
      <c r="I5" s="55">
        <f>(12.632+13.015+11.982)/3</f>
        <v>12.542999999999999</v>
      </c>
      <c r="J5" s="96">
        <f>(12.45+14.42+13.34)/3</f>
        <v>13.403333333333331</v>
      </c>
      <c r="K5" s="55">
        <f t="shared" si="0"/>
        <v>-0.8603333333333314</v>
      </c>
      <c r="L5" s="62" t="s">
        <v>57</v>
      </c>
      <c r="M5" s="55" t="s">
        <v>58</v>
      </c>
      <c r="N5" s="55" t="s">
        <v>59</v>
      </c>
      <c r="O5" s="68"/>
      <c r="P5" s="58" t="s">
        <v>75</v>
      </c>
      <c r="Q5" s="58" t="s">
        <v>76</v>
      </c>
      <c r="R5" s="53" t="s">
        <v>63</v>
      </c>
    </row>
    <row r="6" spans="1:19" s="45" customFormat="1" ht="60" customHeight="1">
      <c r="A6" s="53" t="s">
        <v>54</v>
      </c>
      <c r="B6" s="54">
        <v>11</v>
      </c>
      <c r="C6" s="54" t="s">
        <v>77</v>
      </c>
      <c r="D6" s="55">
        <v>1</v>
      </c>
      <c r="E6" s="55"/>
      <c r="F6" s="55"/>
      <c r="G6" s="55"/>
      <c r="H6" s="55" t="s">
        <v>65</v>
      </c>
      <c r="I6" s="95">
        <f>(0.76+0.72+0.39)/3</f>
        <v>0.62333333333333341</v>
      </c>
      <c r="J6" s="95">
        <f>(0.77+0.72+0.39)/3</f>
        <v>0.62666666666666659</v>
      </c>
      <c r="K6" s="55">
        <f t="shared" si="0"/>
        <v>-3.3333333333331883E-3</v>
      </c>
      <c r="L6" s="62" t="s">
        <v>78</v>
      </c>
      <c r="M6" s="55" t="s">
        <v>58</v>
      </c>
      <c r="N6" s="55" t="s">
        <v>59</v>
      </c>
      <c r="O6" s="68"/>
      <c r="P6" s="58" t="s">
        <v>79</v>
      </c>
      <c r="Q6" s="58" t="s">
        <v>80</v>
      </c>
      <c r="R6" s="53" t="s">
        <v>63</v>
      </c>
    </row>
    <row r="7" spans="1:19" s="45" customFormat="1" ht="60" customHeight="1">
      <c r="A7" s="53" t="s">
        <v>54</v>
      </c>
      <c r="B7" s="54">
        <v>12</v>
      </c>
      <c r="C7" s="54" t="s">
        <v>81</v>
      </c>
      <c r="D7" s="55">
        <v>1</v>
      </c>
      <c r="E7" s="55"/>
      <c r="F7" s="55"/>
      <c r="G7" s="55"/>
      <c r="H7" s="55" t="s">
        <v>82</v>
      </c>
      <c r="I7" s="95">
        <f>(1.91+1.88+1.453)/3</f>
        <v>1.7476666666666667</v>
      </c>
      <c r="J7" s="95">
        <f>(1.91+1.89+1.453)/3</f>
        <v>1.7510000000000001</v>
      </c>
      <c r="K7" s="55">
        <f t="shared" si="0"/>
        <v>-3.3333333333334103E-3</v>
      </c>
      <c r="L7" s="62" t="s">
        <v>66</v>
      </c>
      <c r="M7" s="55" t="s">
        <v>58</v>
      </c>
      <c r="N7" s="55" t="s">
        <v>59</v>
      </c>
      <c r="O7" s="68"/>
      <c r="P7" s="58" t="s">
        <v>83</v>
      </c>
      <c r="Q7" s="58" t="s">
        <v>84</v>
      </c>
      <c r="R7" s="53" t="s">
        <v>63</v>
      </c>
    </row>
    <row r="8" spans="1:19" s="45" customFormat="1" ht="60" customHeight="1">
      <c r="A8" s="53" t="s">
        <v>54</v>
      </c>
      <c r="B8" s="54">
        <v>13</v>
      </c>
      <c r="C8" s="54" t="s">
        <v>85</v>
      </c>
      <c r="D8" s="55">
        <v>1</v>
      </c>
      <c r="E8" s="55"/>
      <c r="F8" s="55"/>
      <c r="G8" s="55"/>
      <c r="H8" s="55" t="s">
        <v>86</v>
      </c>
      <c r="I8" s="95">
        <f>(1.68+2.14+2.18)/3</f>
        <v>2</v>
      </c>
      <c r="J8" s="95">
        <f>(1.68+2.15+2.18)/3</f>
        <v>2.0033333333333334</v>
      </c>
      <c r="K8" s="55">
        <f t="shared" si="0"/>
        <v>-3.3333333333334103E-3</v>
      </c>
      <c r="L8" s="62" t="s">
        <v>66</v>
      </c>
      <c r="M8" s="55" t="s">
        <v>58</v>
      </c>
      <c r="N8" s="55" t="s">
        <v>59</v>
      </c>
      <c r="O8" s="68"/>
      <c r="P8" s="58" t="s">
        <v>87</v>
      </c>
      <c r="Q8" s="58" t="s">
        <v>88</v>
      </c>
      <c r="R8" s="53" t="s">
        <v>63</v>
      </c>
    </row>
    <row r="9" spans="1:19" s="45" customFormat="1" ht="60" customHeight="1">
      <c r="A9" s="53" t="s">
        <v>54</v>
      </c>
      <c r="B9" s="54">
        <v>14</v>
      </c>
      <c r="C9" s="54" t="s">
        <v>89</v>
      </c>
      <c r="D9" s="55">
        <v>1</v>
      </c>
      <c r="E9" s="55"/>
      <c r="F9" s="55" t="s">
        <v>73</v>
      </c>
      <c r="G9" s="55"/>
      <c r="H9" s="55" t="s">
        <v>90</v>
      </c>
      <c r="I9" s="95">
        <f>(10.961+17.269+13.443)/3</f>
        <v>13.890999999999998</v>
      </c>
      <c r="J9" s="96">
        <f>(15.199+16.718+15.366)/3</f>
        <v>15.761000000000001</v>
      </c>
      <c r="K9" s="55">
        <f t="shared" si="0"/>
        <v>-1.8700000000000028</v>
      </c>
      <c r="L9" s="62" t="s">
        <v>91</v>
      </c>
      <c r="M9" s="55" t="s">
        <v>58</v>
      </c>
      <c r="N9" s="55" t="s">
        <v>59</v>
      </c>
      <c r="O9" s="68"/>
      <c r="P9" s="58" t="s">
        <v>92</v>
      </c>
      <c r="Q9" s="58" t="s">
        <v>93</v>
      </c>
      <c r="R9" s="53" t="s">
        <v>63</v>
      </c>
    </row>
    <row r="10" spans="1:19" s="45" customFormat="1" ht="60" customHeight="1">
      <c r="A10" s="53" t="s">
        <v>54</v>
      </c>
      <c r="B10" s="54">
        <v>15</v>
      </c>
      <c r="C10" s="54" t="s">
        <v>94</v>
      </c>
      <c r="D10" s="55">
        <v>1</v>
      </c>
      <c r="E10" s="55"/>
      <c r="F10" s="55" t="s">
        <v>73</v>
      </c>
      <c r="G10" s="55"/>
      <c r="H10" s="55" t="s">
        <v>90</v>
      </c>
      <c r="I10" s="95">
        <f>(16.575+17.122+18.274)/3</f>
        <v>17.323666666666668</v>
      </c>
      <c r="J10" s="96">
        <f>(17.625+18.022+18.274)/3</f>
        <v>17.973666666666666</v>
      </c>
      <c r="K10" s="55">
        <f t="shared" si="0"/>
        <v>-0.64999999999999858</v>
      </c>
      <c r="L10" s="62" t="s">
        <v>95</v>
      </c>
      <c r="M10" s="55" t="s">
        <v>58</v>
      </c>
      <c r="N10" s="55" t="s">
        <v>59</v>
      </c>
      <c r="O10" s="68"/>
      <c r="P10" s="58" t="s">
        <v>96</v>
      </c>
      <c r="Q10" s="58" t="s">
        <v>93</v>
      </c>
      <c r="R10" s="53" t="s">
        <v>63</v>
      </c>
    </row>
    <row r="11" spans="1:19" s="45" customFormat="1" ht="60" customHeight="1">
      <c r="A11" s="53" t="s">
        <v>54</v>
      </c>
      <c r="B11" s="54">
        <v>16</v>
      </c>
      <c r="C11" s="54" t="s">
        <v>97</v>
      </c>
      <c r="D11" s="55">
        <v>1</v>
      </c>
      <c r="E11" s="55"/>
      <c r="F11" s="55"/>
      <c r="G11" s="55"/>
      <c r="H11" s="55" t="s">
        <v>98</v>
      </c>
      <c r="I11" s="55">
        <f>(4.433+4.767+5.11)/3</f>
        <v>4.7699999999999996</v>
      </c>
      <c r="J11" s="95">
        <f>(4.435+4.767+5.11)/3</f>
        <v>4.7706666666666671</v>
      </c>
      <c r="K11" s="55">
        <f t="shared" si="0"/>
        <v>-6.6666666666748142E-4</v>
      </c>
      <c r="L11" s="62" t="s">
        <v>57</v>
      </c>
      <c r="M11" s="55" t="s">
        <v>58</v>
      </c>
      <c r="N11" s="55"/>
      <c r="O11" s="68"/>
      <c r="P11" s="58" t="s">
        <v>99</v>
      </c>
      <c r="Q11" s="121" t="s">
        <v>100</v>
      </c>
      <c r="R11" s="53" t="s">
        <v>63</v>
      </c>
    </row>
    <row r="12" spans="1:19" s="46" customFormat="1" ht="60" customHeight="1">
      <c r="A12" s="106" t="s">
        <v>54</v>
      </c>
      <c r="B12" s="107">
        <v>21</v>
      </c>
      <c r="C12" s="107" t="s">
        <v>101</v>
      </c>
      <c r="D12" s="108">
        <v>1.5</v>
      </c>
      <c r="E12" s="108"/>
      <c r="F12" s="108" t="s">
        <v>73</v>
      </c>
      <c r="G12" s="108" t="s">
        <v>98</v>
      </c>
      <c r="H12" s="108" t="s">
        <v>102</v>
      </c>
      <c r="I12" s="108">
        <f>(13.038+12.295+12.668)/3</f>
        <v>12.667</v>
      </c>
      <c r="J12" s="109">
        <f>(17.813+13.965+12.867)/3</f>
        <v>14.881666666666666</v>
      </c>
      <c r="K12" s="108">
        <f t="shared" si="0"/>
        <v>-2.2146666666666661</v>
      </c>
      <c r="L12" s="110" t="s">
        <v>103</v>
      </c>
      <c r="M12" s="108" t="s">
        <v>58</v>
      </c>
      <c r="N12" s="108" t="s">
        <v>59</v>
      </c>
      <c r="O12" s="111" t="s">
        <v>104</v>
      </c>
      <c r="P12" s="88" t="s">
        <v>105</v>
      </c>
      <c r="Q12" s="88" t="s">
        <v>106</v>
      </c>
      <c r="R12" s="106" t="s">
        <v>63</v>
      </c>
      <c r="S12" s="119" t="s">
        <v>1245</v>
      </c>
    </row>
    <row r="13" spans="1:19" s="46" customFormat="1" ht="60" customHeight="1">
      <c r="A13" s="106" t="s">
        <v>54</v>
      </c>
      <c r="B13" s="107">
        <v>22</v>
      </c>
      <c r="C13" s="107" t="s">
        <v>107</v>
      </c>
      <c r="D13" s="108">
        <v>0.5</v>
      </c>
      <c r="E13" s="108"/>
      <c r="F13" s="108" t="s">
        <v>73</v>
      </c>
      <c r="G13" s="108"/>
      <c r="H13" s="108" t="s">
        <v>108</v>
      </c>
      <c r="I13" s="112">
        <f>(1.12+1.09+1.082)/3</f>
        <v>1.0973333333333333</v>
      </c>
      <c r="J13" s="109">
        <f>(0.969+1.135+1.011)/3</f>
        <v>1.0383333333333333</v>
      </c>
      <c r="K13" s="108">
        <f t="shared" si="0"/>
        <v>5.8999999999999941E-2</v>
      </c>
      <c r="L13" s="110" t="s">
        <v>103</v>
      </c>
      <c r="M13" s="108" t="s">
        <v>58</v>
      </c>
      <c r="N13" s="108" t="s">
        <v>59</v>
      </c>
      <c r="O13" s="111" t="s">
        <v>109</v>
      </c>
      <c r="P13" s="88" t="s">
        <v>110</v>
      </c>
      <c r="Q13" s="88" t="s">
        <v>111</v>
      </c>
      <c r="R13" s="106" t="s">
        <v>63</v>
      </c>
      <c r="S13" s="119" t="s">
        <v>1245</v>
      </c>
    </row>
    <row r="14" spans="1:19" s="45" customFormat="1" ht="60" customHeight="1">
      <c r="A14" s="53" t="s">
        <v>54</v>
      </c>
      <c r="B14" s="54">
        <v>23</v>
      </c>
      <c r="C14" s="54" t="s">
        <v>112</v>
      </c>
      <c r="D14" s="55">
        <v>1</v>
      </c>
      <c r="E14" s="55" t="s">
        <v>73</v>
      </c>
      <c r="F14" s="55" t="s">
        <v>73</v>
      </c>
      <c r="G14" s="55"/>
      <c r="H14" s="55" t="s">
        <v>108</v>
      </c>
      <c r="I14" s="78">
        <f>(1.886+1.972+2.372)/3</f>
        <v>2.0766666666666667</v>
      </c>
      <c r="J14" s="96">
        <f>(1.888+1.972+2.372)/3</f>
        <v>2.0773333333333333</v>
      </c>
      <c r="K14" s="55">
        <f t="shared" si="0"/>
        <v>-6.6666666666659324E-4</v>
      </c>
      <c r="L14" s="62" t="s">
        <v>95</v>
      </c>
      <c r="M14" s="55" t="s">
        <v>58</v>
      </c>
      <c r="N14" s="55" t="s">
        <v>59</v>
      </c>
      <c r="O14" s="68" t="s">
        <v>113</v>
      </c>
      <c r="P14" s="58" t="s">
        <v>110</v>
      </c>
      <c r="Q14" s="58" t="s">
        <v>114</v>
      </c>
      <c r="R14" s="53" t="s">
        <v>63</v>
      </c>
    </row>
    <row r="15" spans="1:19" s="45" customFormat="1" ht="60" hidden="1" customHeight="1">
      <c r="A15" s="53" t="s">
        <v>115</v>
      </c>
      <c r="B15" s="54">
        <v>29</v>
      </c>
      <c r="C15" s="54" t="s">
        <v>116</v>
      </c>
      <c r="D15" s="55">
        <v>1</v>
      </c>
      <c r="E15" s="55" t="s">
        <v>73</v>
      </c>
      <c r="F15" s="55" t="s">
        <v>73</v>
      </c>
      <c r="H15" s="55" t="s">
        <v>117</v>
      </c>
      <c r="I15" s="95">
        <f>(4-(0.92+0.87+0.89)/3)/4</f>
        <v>0.77666666666666662</v>
      </c>
      <c r="J15" s="95">
        <f>4-(0.89+0.92+0.9+0.84+0.81)/5</f>
        <v>3.1280000000000001</v>
      </c>
      <c r="K15" s="55">
        <f t="shared" si="0"/>
        <v>-2.3513333333333337</v>
      </c>
      <c r="L15" s="62">
        <v>3</v>
      </c>
      <c r="M15" s="63" t="s">
        <v>118</v>
      </c>
      <c r="N15" s="55"/>
      <c r="O15" s="68" t="s">
        <v>119</v>
      </c>
      <c r="P15" s="58" t="s">
        <v>120</v>
      </c>
      <c r="Q15" s="58" t="s">
        <v>121</v>
      </c>
      <c r="R15" s="53" t="s">
        <v>122</v>
      </c>
      <c r="S15" s="120" t="s">
        <v>1244</v>
      </c>
    </row>
    <row r="16" spans="1:19" s="45" customFormat="1" ht="60" hidden="1" customHeight="1">
      <c r="A16" s="53" t="s">
        <v>115</v>
      </c>
      <c r="B16" s="54">
        <v>30</v>
      </c>
      <c r="C16" s="54" t="s">
        <v>5</v>
      </c>
      <c r="D16" s="55">
        <v>1</v>
      </c>
      <c r="E16" s="55" t="s">
        <v>73</v>
      </c>
      <c r="F16" s="55" t="s">
        <v>73</v>
      </c>
      <c r="H16" s="55" t="s">
        <v>117</v>
      </c>
      <c r="I16" s="95">
        <f>(4-(0.96+1.05+1.11)/3)/4</f>
        <v>0.74</v>
      </c>
      <c r="J16" s="95">
        <f>(4-(1.09+1.11+1.07+1.21+1.07)/5)/4</f>
        <v>0.72249999999999992</v>
      </c>
      <c r="K16" s="95">
        <f t="shared" si="0"/>
        <v>1.7500000000000071E-2</v>
      </c>
      <c r="L16" s="62">
        <v>3</v>
      </c>
      <c r="M16" s="63" t="s">
        <v>118</v>
      </c>
      <c r="N16" s="55"/>
      <c r="O16" s="68" t="s">
        <v>119</v>
      </c>
      <c r="P16" s="58" t="s">
        <v>123</v>
      </c>
      <c r="Q16" s="58" t="s">
        <v>121</v>
      </c>
      <c r="R16" s="53" t="s">
        <v>122</v>
      </c>
      <c r="S16" s="120" t="s">
        <v>1244</v>
      </c>
    </row>
    <row r="17" spans="1:23" s="45" customFormat="1" ht="60" hidden="1" customHeight="1">
      <c r="A17" s="53" t="s">
        <v>115</v>
      </c>
      <c r="B17" s="54">
        <v>31</v>
      </c>
      <c r="C17" s="54" t="s">
        <v>7</v>
      </c>
      <c r="D17" s="55">
        <v>1</v>
      </c>
      <c r="E17" s="55" t="s">
        <v>73</v>
      </c>
      <c r="F17" s="55" t="s">
        <v>73</v>
      </c>
      <c r="H17" s="55" t="s">
        <v>117</v>
      </c>
      <c r="I17" s="95">
        <f>400%-(138%+126%+122%)/3</f>
        <v>2.7133333333333338</v>
      </c>
      <c r="J17" s="95">
        <f>4-(1.39+1.18+1.13+1.16+1.27)/5</f>
        <v>2.774</v>
      </c>
      <c r="K17" s="95">
        <f t="shared" si="0"/>
        <v>-6.0666666666666202E-2</v>
      </c>
      <c r="L17" s="62">
        <v>3</v>
      </c>
      <c r="M17" s="63" t="s">
        <v>118</v>
      </c>
      <c r="N17" s="55"/>
      <c r="O17" s="68" t="s">
        <v>119</v>
      </c>
      <c r="P17" s="58" t="s">
        <v>123</v>
      </c>
      <c r="Q17" s="58" t="s">
        <v>121</v>
      </c>
      <c r="R17" s="53" t="s">
        <v>122</v>
      </c>
      <c r="S17" s="120" t="s">
        <v>1244</v>
      </c>
    </row>
    <row r="18" spans="1:23" s="46" customFormat="1" ht="60" hidden="1" customHeight="1">
      <c r="A18" s="106" t="s">
        <v>115</v>
      </c>
      <c r="B18" s="107">
        <v>32</v>
      </c>
      <c r="C18" s="107" t="s">
        <v>124</v>
      </c>
      <c r="D18" s="108">
        <v>2</v>
      </c>
      <c r="E18" s="108" t="s">
        <v>73</v>
      </c>
      <c r="F18" s="108" t="s">
        <v>73</v>
      </c>
      <c r="H18" s="108" t="s">
        <v>117</v>
      </c>
      <c r="I18" s="112">
        <f>(4-(1.04+0.95+1.03)/3)/4</f>
        <v>0.74833333333333329</v>
      </c>
      <c r="J18" s="112">
        <f>(4-(1.21+1.11+1.05)/3)/4</f>
        <v>0.71916666666666673</v>
      </c>
      <c r="K18" s="112">
        <f t="shared" si="0"/>
        <v>2.9166666666666563E-2</v>
      </c>
      <c r="L18" s="110">
        <v>3</v>
      </c>
      <c r="M18" s="113" t="s">
        <v>118</v>
      </c>
      <c r="N18" s="108"/>
      <c r="O18" s="111" t="s">
        <v>119</v>
      </c>
      <c r="P18" s="88" t="s">
        <v>125</v>
      </c>
      <c r="Q18" s="88" t="s">
        <v>121</v>
      </c>
      <c r="R18" s="106" t="s">
        <v>122</v>
      </c>
      <c r="S18" s="120" t="s">
        <v>1244</v>
      </c>
      <c r="T18" s="122"/>
      <c r="U18" s="122"/>
      <c r="V18" s="122"/>
      <c r="W18" s="122"/>
    </row>
    <row r="19" spans="1:23" s="45" customFormat="1" ht="60" hidden="1" customHeight="1">
      <c r="A19" s="53" t="s">
        <v>115</v>
      </c>
      <c r="B19" s="54">
        <v>33</v>
      </c>
      <c r="C19" s="54" t="s">
        <v>9</v>
      </c>
      <c r="D19" s="55">
        <v>1</v>
      </c>
      <c r="E19" s="55" t="s">
        <v>73</v>
      </c>
      <c r="F19" s="55" t="s">
        <v>73</v>
      </c>
      <c r="H19" s="55" t="s">
        <v>126</v>
      </c>
      <c r="I19" s="95">
        <f>(2264673+2266926+2258868)/3</f>
        <v>2263489</v>
      </c>
      <c r="J19" s="95">
        <f>(2217138+2218734+2215554)/3</f>
        <v>2217142</v>
      </c>
      <c r="K19" s="55">
        <f t="shared" si="0"/>
        <v>46347</v>
      </c>
      <c r="L19" s="62">
        <v>3</v>
      </c>
      <c r="M19" s="63" t="s">
        <v>118</v>
      </c>
      <c r="N19" s="55"/>
      <c r="O19" s="68" t="s">
        <v>119</v>
      </c>
      <c r="P19" s="58" t="s">
        <v>127</v>
      </c>
      <c r="Q19" s="58" t="s">
        <v>128</v>
      </c>
      <c r="R19" s="53" t="s">
        <v>122</v>
      </c>
    </row>
    <row r="20" spans="1:23" s="45" customFormat="1" ht="60" hidden="1" customHeight="1">
      <c r="A20" s="53" t="s">
        <v>115</v>
      </c>
      <c r="B20" s="54">
        <v>34</v>
      </c>
      <c r="C20" s="54" t="s">
        <v>11</v>
      </c>
      <c r="D20" s="55">
        <v>1</v>
      </c>
      <c r="E20" s="55" t="s">
        <v>73</v>
      </c>
      <c r="F20" s="55" t="s">
        <v>73</v>
      </c>
      <c r="G20" s="55"/>
      <c r="H20" s="55" t="s">
        <v>126</v>
      </c>
      <c r="I20" s="95" t="s">
        <v>129</v>
      </c>
      <c r="J20" s="55" t="s">
        <v>129</v>
      </c>
      <c r="K20" s="55" t="s">
        <v>129</v>
      </c>
      <c r="L20" s="62">
        <v>3</v>
      </c>
      <c r="M20" s="63" t="s">
        <v>118</v>
      </c>
      <c r="N20" s="55"/>
      <c r="O20" s="68" t="s">
        <v>119</v>
      </c>
      <c r="P20" s="58" t="s">
        <v>130</v>
      </c>
      <c r="Q20" s="58" t="s">
        <v>128</v>
      </c>
      <c r="R20" s="53" t="s">
        <v>122</v>
      </c>
    </row>
    <row r="21" spans="1:23" s="45" customFormat="1" ht="60" hidden="1" customHeight="1">
      <c r="A21" s="53" t="s">
        <v>115</v>
      </c>
      <c r="B21" s="54">
        <v>35</v>
      </c>
      <c r="C21" s="54" t="s">
        <v>131</v>
      </c>
      <c r="D21" s="55">
        <v>1</v>
      </c>
      <c r="E21" s="55" t="s">
        <v>73</v>
      </c>
      <c r="F21" s="55" t="s">
        <v>73</v>
      </c>
      <c r="G21" s="55"/>
      <c r="H21" s="55" t="s">
        <v>126</v>
      </c>
      <c r="I21" s="95" t="s">
        <v>129</v>
      </c>
      <c r="J21" s="55" t="s">
        <v>129</v>
      </c>
      <c r="K21" s="55" t="s">
        <v>129</v>
      </c>
      <c r="L21" s="62">
        <v>3</v>
      </c>
      <c r="M21" s="63" t="s">
        <v>118</v>
      </c>
      <c r="N21" s="55"/>
      <c r="O21" s="68" t="s">
        <v>119</v>
      </c>
      <c r="P21" s="58" t="s">
        <v>132</v>
      </c>
      <c r="Q21" s="58" t="s">
        <v>128</v>
      </c>
      <c r="R21" s="53" t="s">
        <v>122</v>
      </c>
    </row>
    <row r="22" spans="1:23" s="45" customFormat="1" ht="60" hidden="1" customHeight="1">
      <c r="A22" s="53" t="s">
        <v>115</v>
      </c>
      <c r="B22" s="54">
        <v>36</v>
      </c>
      <c r="C22" s="54" t="s">
        <v>13</v>
      </c>
      <c r="D22" s="55">
        <v>2</v>
      </c>
      <c r="E22" s="55" t="s">
        <v>73</v>
      </c>
      <c r="F22" s="55" t="s">
        <v>73</v>
      </c>
      <c r="H22" s="55" t="s">
        <v>126</v>
      </c>
      <c r="I22" s="95">
        <f>(2246179+2203179+2219547)/3</f>
        <v>2222968.3333333335</v>
      </c>
      <c r="J22" s="78">
        <f>(2234704+2214319+2217210+2223742+2225082)/5</f>
        <v>2223011.4</v>
      </c>
      <c r="K22" s="55">
        <f t="shared" si="0"/>
        <v>-43.066666666418314</v>
      </c>
      <c r="L22" s="62">
        <v>3</v>
      </c>
      <c r="M22" s="63" t="s">
        <v>118</v>
      </c>
      <c r="N22" s="55"/>
      <c r="O22" s="68" t="s">
        <v>119</v>
      </c>
      <c r="P22" s="58" t="s">
        <v>133</v>
      </c>
      <c r="Q22" s="58" t="s">
        <v>128</v>
      </c>
      <c r="R22" s="53" t="s">
        <v>122</v>
      </c>
    </row>
    <row r="23" spans="1:23" s="45" customFormat="1" ht="60" hidden="1" customHeight="1">
      <c r="A23" s="53" t="s">
        <v>115</v>
      </c>
      <c r="B23" s="54">
        <v>37</v>
      </c>
      <c r="C23" s="54" t="s">
        <v>15</v>
      </c>
      <c r="D23" s="55">
        <v>1</v>
      </c>
      <c r="E23" s="55" t="s">
        <v>73</v>
      </c>
      <c r="F23" s="55" t="s">
        <v>73</v>
      </c>
      <c r="G23" s="55"/>
      <c r="H23" s="55" t="s">
        <v>134</v>
      </c>
      <c r="I23" s="95">
        <f>(10%+9%+6%)/3</f>
        <v>8.3333333333333329E-2</v>
      </c>
      <c r="J23" s="95">
        <f>(6%+6%+6%+9%+4%)/5</f>
        <v>6.2E-2</v>
      </c>
      <c r="K23" s="55">
        <f t="shared" si="0"/>
        <v>2.1333333333333329E-2</v>
      </c>
      <c r="L23" s="62">
        <v>3</v>
      </c>
      <c r="M23" s="63" t="s">
        <v>118</v>
      </c>
      <c r="N23" s="55"/>
      <c r="O23" s="68" t="s">
        <v>119</v>
      </c>
      <c r="P23" s="58" t="s">
        <v>135</v>
      </c>
      <c r="Q23" s="58" t="s">
        <v>136</v>
      </c>
      <c r="R23" s="53" t="s">
        <v>122</v>
      </c>
    </row>
    <row r="24" spans="1:23" s="45" customFormat="1" ht="60" hidden="1" customHeight="1">
      <c r="A24" s="53" t="s">
        <v>115</v>
      </c>
      <c r="B24" s="54">
        <v>38</v>
      </c>
      <c r="C24" s="54" t="s">
        <v>17</v>
      </c>
      <c r="D24" s="55">
        <v>1</v>
      </c>
      <c r="E24" s="55" t="s">
        <v>73</v>
      </c>
      <c r="F24" s="55" t="s">
        <v>73</v>
      </c>
      <c r="G24" s="55"/>
      <c r="H24" s="55" t="s">
        <v>134</v>
      </c>
      <c r="I24" s="95">
        <f>(15%+10%+11%)/3</f>
        <v>0.12</v>
      </c>
      <c r="J24" s="95">
        <f>(11%+12%+9%+14%+12%)/5</f>
        <v>0.11599999999999999</v>
      </c>
      <c r="K24" s="55">
        <f t="shared" si="0"/>
        <v>4.0000000000000036E-3</v>
      </c>
      <c r="L24" s="62">
        <v>3</v>
      </c>
      <c r="M24" s="63" t="s">
        <v>118</v>
      </c>
      <c r="N24" s="55"/>
      <c r="O24" s="68" t="s">
        <v>119</v>
      </c>
      <c r="P24" s="58" t="s">
        <v>135</v>
      </c>
      <c r="Q24" s="58" t="s">
        <v>136</v>
      </c>
      <c r="R24" s="53" t="s">
        <v>122</v>
      </c>
    </row>
    <row r="25" spans="1:23" s="45" customFormat="1" ht="60" hidden="1" customHeight="1">
      <c r="A25" s="53" t="s">
        <v>115</v>
      </c>
      <c r="B25" s="54">
        <v>39</v>
      </c>
      <c r="C25" s="56" t="s">
        <v>19</v>
      </c>
      <c r="D25" s="55">
        <v>1</v>
      </c>
      <c r="E25" s="55" t="s">
        <v>73</v>
      </c>
      <c r="F25" s="55" t="s">
        <v>73</v>
      </c>
      <c r="G25" s="55"/>
      <c r="H25" s="55" t="s">
        <v>134</v>
      </c>
      <c r="I25" s="95">
        <f>(11%+11%+14%)/3</f>
        <v>0.12</v>
      </c>
      <c r="J25" s="79">
        <f>(9%+11%+11%+9%+13%)/5</f>
        <v>0.10600000000000001</v>
      </c>
      <c r="K25" s="55">
        <f t="shared" si="0"/>
        <v>1.3999999999999985E-2</v>
      </c>
      <c r="L25" s="62">
        <v>3</v>
      </c>
      <c r="M25" s="63" t="s">
        <v>118</v>
      </c>
      <c r="N25" s="55"/>
      <c r="O25" s="68" t="s">
        <v>119</v>
      </c>
      <c r="P25" s="58" t="s">
        <v>135</v>
      </c>
      <c r="Q25" s="58" t="s">
        <v>136</v>
      </c>
      <c r="R25" s="53" t="s">
        <v>122</v>
      </c>
    </row>
    <row r="26" spans="1:23" s="45" customFormat="1" ht="69.5" customHeight="1">
      <c r="A26" s="53" t="s">
        <v>54</v>
      </c>
      <c r="B26" s="54">
        <v>43</v>
      </c>
      <c r="C26" s="56" t="s">
        <v>137</v>
      </c>
      <c r="D26" s="55">
        <v>1</v>
      </c>
      <c r="E26" s="55"/>
      <c r="F26" s="55" t="s">
        <v>73</v>
      </c>
      <c r="G26" s="55"/>
      <c r="H26" s="55" t="s">
        <v>82</v>
      </c>
      <c r="I26" s="95">
        <f>(3.091+2.511+2.72)/3</f>
        <v>2.7740000000000005</v>
      </c>
      <c r="J26" s="96">
        <f>(2.774+2.607+2.544)/3</f>
        <v>2.6416666666666671</v>
      </c>
      <c r="K26" s="55">
        <f t="shared" si="0"/>
        <v>0.13233333333333341</v>
      </c>
      <c r="L26" s="62" t="s">
        <v>138</v>
      </c>
      <c r="M26" s="55" t="s">
        <v>58</v>
      </c>
      <c r="N26" s="55" t="s">
        <v>59</v>
      </c>
      <c r="O26" s="68" t="s">
        <v>139</v>
      </c>
      <c r="P26" s="58" t="s">
        <v>140</v>
      </c>
      <c r="Q26" s="58" t="s">
        <v>141</v>
      </c>
      <c r="R26" s="53" t="s">
        <v>63</v>
      </c>
    </row>
    <row r="27" spans="1:23" s="45" customFormat="1" ht="60" customHeight="1">
      <c r="A27" s="53" t="s">
        <v>54</v>
      </c>
      <c r="B27" s="54">
        <v>44</v>
      </c>
      <c r="C27" s="54" t="s">
        <v>142</v>
      </c>
      <c r="D27" s="55">
        <v>1</v>
      </c>
      <c r="E27" s="55"/>
      <c r="F27" s="55"/>
      <c r="G27" s="55"/>
      <c r="H27" s="55" t="s">
        <v>82</v>
      </c>
      <c r="I27" s="95">
        <f>(2.065+1.358+1.354)/3</f>
        <v>1.5923333333333334</v>
      </c>
      <c r="J27" s="95">
        <f>(2.065+1.359+1.354)/3</f>
        <v>1.5926666666666669</v>
      </c>
      <c r="K27" s="55">
        <f t="shared" si="0"/>
        <v>-3.3333333333351867E-4</v>
      </c>
      <c r="L27" s="62" t="s">
        <v>66</v>
      </c>
      <c r="M27" s="55" t="s">
        <v>58</v>
      </c>
      <c r="N27" s="55" t="s">
        <v>59</v>
      </c>
      <c r="O27" s="68"/>
      <c r="P27" s="58" t="s">
        <v>143</v>
      </c>
      <c r="Q27" s="58" t="s">
        <v>68</v>
      </c>
      <c r="R27" s="53" t="s">
        <v>63</v>
      </c>
    </row>
    <row r="28" spans="1:23" s="45" customFormat="1" ht="60" customHeight="1">
      <c r="A28" s="53" t="s">
        <v>54</v>
      </c>
      <c r="B28" s="54">
        <v>45</v>
      </c>
      <c r="C28" s="54" t="s">
        <v>144</v>
      </c>
      <c r="D28" s="55">
        <v>1</v>
      </c>
      <c r="E28" s="55"/>
      <c r="F28" s="55"/>
      <c r="G28" s="55"/>
      <c r="H28" s="55" t="s">
        <v>82</v>
      </c>
      <c r="I28" s="95">
        <f>(2.495+2.513+2.064)/3</f>
        <v>2.3573333333333335</v>
      </c>
      <c r="J28" s="95">
        <f>(2.495+2.515+2.064)/3</f>
        <v>2.3580000000000001</v>
      </c>
      <c r="K28" s="55">
        <f t="shared" si="0"/>
        <v>-6.6666666666659324E-4</v>
      </c>
      <c r="L28" s="62" t="s">
        <v>66</v>
      </c>
      <c r="M28" s="55" t="s">
        <v>58</v>
      </c>
      <c r="N28" s="55" t="s">
        <v>59</v>
      </c>
      <c r="O28" s="68"/>
      <c r="P28" s="58" t="s">
        <v>145</v>
      </c>
      <c r="Q28" s="58" t="s">
        <v>71</v>
      </c>
      <c r="R28" s="53" t="s">
        <v>63</v>
      </c>
    </row>
    <row r="29" spans="1:23" s="45" customFormat="1" ht="51" customHeight="1">
      <c r="A29" s="53" t="s">
        <v>54</v>
      </c>
      <c r="B29" s="54">
        <v>46</v>
      </c>
      <c r="C29" s="56" t="s">
        <v>146</v>
      </c>
      <c r="D29" s="55">
        <v>0.5</v>
      </c>
      <c r="E29" s="55"/>
      <c r="F29" s="55" t="s">
        <v>73</v>
      </c>
      <c r="G29" s="55"/>
      <c r="H29" s="55" t="s">
        <v>82</v>
      </c>
      <c r="I29" s="95">
        <f>(2.187+2.746+2.346)/3</f>
        <v>2.4263333333333335</v>
      </c>
      <c r="J29" s="96">
        <f>(2.907+1.905+1.838)/3</f>
        <v>2.2166666666666668</v>
      </c>
      <c r="K29" s="55">
        <f t="shared" si="0"/>
        <v>0.20966666666666667</v>
      </c>
      <c r="L29" s="62" t="s">
        <v>138</v>
      </c>
      <c r="M29" s="55" t="s">
        <v>58</v>
      </c>
      <c r="N29" s="55" t="s">
        <v>59</v>
      </c>
      <c r="O29" s="68" t="s">
        <v>147</v>
      </c>
      <c r="P29" s="58" t="s">
        <v>148</v>
      </c>
      <c r="Q29" s="58" t="s">
        <v>149</v>
      </c>
      <c r="R29" s="53" t="s">
        <v>63</v>
      </c>
      <c r="S29" s="73"/>
    </row>
    <row r="30" spans="1:23" s="45" customFormat="1" ht="60" customHeight="1">
      <c r="A30" s="53" t="s">
        <v>54</v>
      </c>
      <c r="B30" s="54">
        <v>49</v>
      </c>
      <c r="C30" s="57" t="s">
        <v>150</v>
      </c>
      <c r="D30" s="55">
        <v>1</v>
      </c>
      <c r="E30" s="55"/>
      <c r="F30" s="55"/>
      <c r="G30" s="55"/>
      <c r="H30" s="55" t="s">
        <v>82</v>
      </c>
      <c r="I30" s="95">
        <f>(2.452+2.033+3.86)/3</f>
        <v>2.7816666666666663</v>
      </c>
      <c r="J30" s="95">
        <f>(2.452+2.034+3.86)/3</f>
        <v>2.782</v>
      </c>
      <c r="K30" s="55">
        <f t="shared" si="0"/>
        <v>-3.3333333333374071E-4</v>
      </c>
      <c r="L30" s="62" t="s">
        <v>138</v>
      </c>
      <c r="M30" s="55" t="s">
        <v>58</v>
      </c>
      <c r="N30" s="55" t="s">
        <v>59</v>
      </c>
      <c r="O30" s="68" t="s">
        <v>151</v>
      </c>
      <c r="P30" s="58" t="s">
        <v>152</v>
      </c>
      <c r="Q30" s="58" t="s">
        <v>153</v>
      </c>
      <c r="R30" s="53" t="s">
        <v>63</v>
      </c>
    </row>
    <row r="31" spans="1:23" s="46" customFormat="1" ht="60" customHeight="1">
      <c r="A31" s="106" t="s">
        <v>54</v>
      </c>
      <c r="B31" s="107">
        <v>50</v>
      </c>
      <c r="C31" s="114" t="s">
        <v>154</v>
      </c>
      <c r="D31" s="108">
        <v>1</v>
      </c>
      <c r="E31" s="108"/>
      <c r="F31" s="108" t="s">
        <v>73</v>
      </c>
      <c r="G31" s="108"/>
      <c r="H31" s="108" t="s">
        <v>155</v>
      </c>
      <c r="I31" s="112">
        <f>(2.79+3.23+2.18)/3</f>
        <v>2.7333333333333329</v>
      </c>
      <c r="J31" s="109">
        <f>(3.58+2.99+2.92)/3</f>
        <v>3.1633333333333336</v>
      </c>
      <c r="K31" s="108">
        <f t="shared" si="0"/>
        <v>-0.4300000000000006</v>
      </c>
      <c r="L31" s="110" t="s">
        <v>138</v>
      </c>
      <c r="M31" s="108" t="s">
        <v>58</v>
      </c>
      <c r="N31" s="108" t="s">
        <v>59</v>
      </c>
      <c r="O31" s="111"/>
      <c r="P31" s="88" t="s">
        <v>156</v>
      </c>
      <c r="Q31" s="88" t="s">
        <v>157</v>
      </c>
      <c r="R31" s="106" t="s">
        <v>63</v>
      </c>
      <c r="S31" s="119" t="s">
        <v>1243</v>
      </c>
    </row>
    <row r="32" spans="1:23" s="45" customFormat="1" ht="60" customHeight="1">
      <c r="A32" s="53" t="s">
        <v>54</v>
      </c>
      <c r="B32" s="54">
        <v>51</v>
      </c>
      <c r="C32" s="54" t="s">
        <v>158</v>
      </c>
      <c r="D32" s="55">
        <v>1</v>
      </c>
      <c r="E32" s="55"/>
      <c r="F32" s="55"/>
      <c r="G32" s="55"/>
      <c r="H32" s="55" t="s">
        <v>65</v>
      </c>
      <c r="I32" s="95">
        <f>(1.16+1.23+1.07)/3</f>
        <v>1.1533333333333333</v>
      </c>
      <c r="J32" s="95">
        <f>(1.17+1.23+1.07)/3</f>
        <v>1.1566666666666665</v>
      </c>
      <c r="K32" s="55">
        <f t="shared" si="0"/>
        <v>-3.3333333333331883E-3</v>
      </c>
      <c r="L32" s="62" t="s">
        <v>138</v>
      </c>
      <c r="M32" s="55" t="s">
        <v>58</v>
      </c>
      <c r="N32" s="55" t="s">
        <v>59</v>
      </c>
      <c r="O32" s="68"/>
      <c r="P32" s="58" t="s">
        <v>159</v>
      </c>
      <c r="Q32" s="58" t="s">
        <v>80</v>
      </c>
      <c r="R32" s="53" t="s">
        <v>63</v>
      </c>
    </row>
    <row r="33" spans="1:19" s="45" customFormat="1" ht="60" customHeight="1">
      <c r="A33" s="53" t="s">
        <v>54</v>
      </c>
      <c r="B33" s="54">
        <v>53</v>
      </c>
      <c r="C33" s="56" t="s">
        <v>160</v>
      </c>
      <c r="D33" s="55">
        <v>1</v>
      </c>
      <c r="E33" s="55"/>
      <c r="F33" s="55" t="s">
        <v>73</v>
      </c>
      <c r="G33" s="55"/>
      <c r="H33" s="55" t="s">
        <v>161</v>
      </c>
      <c r="I33" s="95">
        <f>(197+162+252)/3</f>
        <v>203.66666666666666</v>
      </c>
      <c r="J33" s="96">
        <f>(467+501+434)/3</f>
        <v>467.33333333333331</v>
      </c>
      <c r="K33" s="55">
        <f t="shared" si="0"/>
        <v>-263.66666666666663</v>
      </c>
      <c r="L33" s="62">
        <v>2</v>
      </c>
      <c r="M33" s="55" t="s">
        <v>58</v>
      </c>
      <c r="N33" s="55" t="s">
        <v>162</v>
      </c>
      <c r="O33" s="68"/>
      <c r="P33" s="58" t="s">
        <v>163</v>
      </c>
      <c r="Q33" s="58" t="s">
        <v>164</v>
      </c>
      <c r="R33" s="53" t="s">
        <v>63</v>
      </c>
    </row>
    <row r="34" spans="1:19" s="45" customFormat="1" ht="60" customHeight="1">
      <c r="A34" s="53" t="s">
        <v>54</v>
      </c>
      <c r="B34" s="54">
        <v>54</v>
      </c>
      <c r="C34" s="56" t="s">
        <v>165</v>
      </c>
      <c r="D34" s="55">
        <v>1</v>
      </c>
      <c r="E34" s="55"/>
      <c r="F34" s="55" t="s">
        <v>73</v>
      </c>
      <c r="G34" s="55"/>
      <c r="H34" s="55" t="s">
        <v>161</v>
      </c>
      <c r="I34" s="95">
        <f>(595+559+516)/3</f>
        <v>556.66666666666663</v>
      </c>
      <c r="J34" s="96">
        <f>(1705+1705+1737)/3</f>
        <v>1715.6666666666667</v>
      </c>
      <c r="K34" s="55">
        <f t="shared" si="0"/>
        <v>-1159</v>
      </c>
      <c r="L34" s="62">
        <v>2</v>
      </c>
      <c r="M34" s="55" t="s">
        <v>58</v>
      </c>
      <c r="N34" s="55" t="s">
        <v>162</v>
      </c>
      <c r="O34" s="68" t="s">
        <v>166</v>
      </c>
      <c r="P34" s="58" t="s">
        <v>167</v>
      </c>
      <c r="Q34" s="58" t="s">
        <v>168</v>
      </c>
      <c r="R34" s="53" t="s">
        <v>63</v>
      </c>
    </row>
    <row r="35" spans="1:19" s="45" customFormat="1" ht="60" customHeight="1">
      <c r="A35" s="53" t="s">
        <v>54</v>
      </c>
      <c r="B35" s="54">
        <v>57</v>
      </c>
      <c r="C35" s="56" t="s">
        <v>169</v>
      </c>
      <c r="D35" s="55">
        <v>1</v>
      </c>
      <c r="E35" s="55"/>
      <c r="F35" s="55" t="s">
        <v>73</v>
      </c>
      <c r="G35" s="55"/>
      <c r="H35" s="55" t="s">
        <v>161</v>
      </c>
      <c r="I35" s="95">
        <f>(580+620+710)/3</f>
        <v>636.66666666666663</v>
      </c>
      <c r="J35" s="96">
        <f>(370+560+470)/3</f>
        <v>466.66666666666669</v>
      </c>
      <c r="K35" s="55">
        <f t="shared" si="0"/>
        <v>169.99999999999994</v>
      </c>
      <c r="L35" s="62">
        <v>2</v>
      </c>
      <c r="M35" s="55" t="s">
        <v>58</v>
      </c>
      <c r="N35" s="55" t="s">
        <v>162</v>
      </c>
      <c r="O35" s="68"/>
      <c r="P35" s="58" t="s">
        <v>170</v>
      </c>
      <c r="Q35" s="58" t="s">
        <v>171</v>
      </c>
      <c r="R35" s="53" t="s">
        <v>63</v>
      </c>
    </row>
    <row r="36" spans="1:19" s="45" customFormat="1" ht="60" hidden="1" customHeight="1">
      <c r="A36" s="53" t="s">
        <v>172</v>
      </c>
      <c r="B36" s="54">
        <v>58</v>
      </c>
      <c r="C36" s="54" t="s">
        <v>173</v>
      </c>
      <c r="D36" s="55">
        <v>1</v>
      </c>
      <c r="E36" s="55"/>
      <c r="F36" s="55" t="s">
        <v>73</v>
      </c>
      <c r="G36" s="55"/>
      <c r="H36" s="55" t="s">
        <v>117</v>
      </c>
      <c r="I36" s="55">
        <f>(2.65+2+1.89)/3</f>
        <v>2.1800000000000002</v>
      </c>
      <c r="J36" s="55">
        <f>(2.66+2.63+2.62)/3</f>
        <v>2.6366666666666667</v>
      </c>
      <c r="K36" s="55">
        <f t="shared" si="0"/>
        <v>-0.45666666666666655</v>
      </c>
      <c r="L36" s="62">
        <v>3</v>
      </c>
      <c r="M36" s="55" t="s">
        <v>58</v>
      </c>
      <c r="N36" s="55"/>
      <c r="O36" s="68" t="s">
        <v>174</v>
      </c>
      <c r="P36" s="58" t="s">
        <v>175</v>
      </c>
      <c r="Q36" s="58" t="s">
        <v>176</v>
      </c>
      <c r="R36" s="53" t="s">
        <v>122</v>
      </c>
    </row>
    <row r="37" spans="1:19" s="45" customFormat="1" ht="60" hidden="1" customHeight="1">
      <c r="A37" s="53" t="s">
        <v>172</v>
      </c>
      <c r="B37" s="54">
        <v>59</v>
      </c>
      <c r="C37" s="54" t="s">
        <v>177</v>
      </c>
      <c r="D37" s="55">
        <v>1</v>
      </c>
      <c r="E37" s="55"/>
      <c r="F37" s="55" t="s">
        <v>73</v>
      </c>
      <c r="G37" s="55"/>
      <c r="H37" s="55" t="s">
        <v>126</v>
      </c>
      <c r="I37" s="55">
        <f>(257310+177683+176315)/3</f>
        <v>203769.33333333334</v>
      </c>
      <c r="J37" s="55">
        <f>(211845+201160+193560)/3</f>
        <v>202188.33333333334</v>
      </c>
      <c r="K37" s="55">
        <f t="shared" si="0"/>
        <v>1581</v>
      </c>
      <c r="L37" s="62">
        <v>3</v>
      </c>
      <c r="M37" s="55" t="s">
        <v>58</v>
      </c>
      <c r="N37" s="55"/>
      <c r="O37" s="68" t="s">
        <v>174</v>
      </c>
      <c r="P37" s="58" t="s">
        <v>178</v>
      </c>
      <c r="Q37" s="58" t="s">
        <v>179</v>
      </c>
      <c r="R37" s="53" t="s">
        <v>122</v>
      </c>
    </row>
    <row r="38" spans="1:19" s="45" customFormat="1" ht="60" hidden="1" customHeight="1">
      <c r="A38" s="53" t="s">
        <v>172</v>
      </c>
      <c r="B38" s="54">
        <v>60</v>
      </c>
      <c r="C38" s="54" t="s">
        <v>180</v>
      </c>
      <c r="D38" s="55">
        <v>1</v>
      </c>
      <c r="E38" s="55"/>
      <c r="F38" s="55" t="s">
        <v>73</v>
      </c>
      <c r="G38" s="55"/>
      <c r="H38" s="55" t="s">
        <v>126</v>
      </c>
      <c r="I38" s="55">
        <f>(0.9+0.94+0.93)/3</f>
        <v>0.92333333333333334</v>
      </c>
      <c r="J38" s="55">
        <f>(0.73+0.94+0.9)/3</f>
        <v>0.85666666666666658</v>
      </c>
      <c r="K38" s="55">
        <f t="shared" si="0"/>
        <v>6.6666666666666763E-2</v>
      </c>
      <c r="L38" s="62">
        <v>3</v>
      </c>
      <c r="M38" s="55" t="s">
        <v>58</v>
      </c>
      <c r="N38" s="55"/>
      <c r="O38" s="68" t="s">
        <v>174</v>
      </c>
      <c r="P38" s="58" t="s">
        <v>181</v>
      </c>
      <c r="Q38" s="58" t="s">
        <v>182</v>
      </c>
      <c r="R38" s="53" t="s">
        <v>122</v>
      </c>
    </row>
    <row r="39" spans="1:19" s="45" customFormat="1" ht="60" hidden="1" customHeight="1">
      <c r="A39" s="53" t="s">
        <v>172</v>
      </c>
      <c r="B39" s="54">
        <v>61</v>
      </c>
      <c r="C39" s="54" t="s">
        <v>183</v>
      </c>
      <c r="D39" s="55">
        <v>1</v>
      </c>
      <c r="E39" s="55"/>
      <c r="F39" s="55" t="s">
        <v>73</v>
      </c>
      <c r="G39" s="55"/>
      <c r="H39" s="55"/>
      <c r="I39" s="98">
        <v>0</v>
      </c>
      <c r="J39" s="78">
        <v>0</v>
      </c>
      <c r="K39" s="55">
        <f t="shared" si="0"/>
        <v>0</v>
      </c>
      <c r="L39" s="62">
        <v>3</v>
      </c>
      <c r="M39" s="55" t="s">
        <v>58</v>
      </c>
      <c r="N39" s="55"/>
      <c r="O39" s="68" t="s">
        <v>174</v>
      </c>
      <c r="P39" s="58" t="s">
        <v>184</v>
      </c>
      <c r="Q39" s="58" t="s">
        <v>185</v>
      </c>
      <c r="R39" s="53" t="s">
        <v>122</v>
      </c>
      <c r="S39" s="45" t="s">
        <v>1241</v>
      </c>
    </row>
    <row r="40" spans="1:19" s="45" customFormat="1" ht="110.25" hidden="1" customHeight="1">
      <c r="A40" s="53" t="s">
        <v>172</v>
      </c>
      <c r="B40" s="54">
        <v>62</v>
      </c>
      <c r="C40" s="54" t="s">
        <v>186</v>
      </c>
      <c r="D40" s="55">
        <v>1</v>
      </c>
      <c r="E40" s="55"/>
      <c r="F40" s="55" t="s">
        <v>73</v>
      </c>
      <c r="G40" s="55"/>
      <c r="H40" s="55"/>
      <c r="I40" s="98">
        <v>0</v>
      </c>
      <c r="J40" s="78">
        <v>0</v>
      </c>
      <c r="K40" s="55">
        <f t="shared" si="0"/>
        <v>0</v>
      </c>
      <c r="L40" s="62">
        <v>3</v>
      </c>
      <c r="M40" s="55" t="s">
        <v>58</v>
      </c>
      <c r="N40" s="55"/>
      <c r="O40" s="68" t="s">
        <v>174</v>
      </c>
      <c r="P40" s="58" t="s">
        <v>187</v>
      </c>
      <c r="Q40" s="58" t="s">
        <v>188</v>
      </c>
      <c r="R40" s="53" t="s">
        <v>122</v>
      </c>
      <c r="S40" s="45" t="s">
        <v>1241</v>
      </c>
    </row>
    <row r="41" spans="1:19" s="45" customFormat="1" ht="60" hidden="1" customHeight="1">
      <c r="A41" s="53" t="s">
        <v>172</v>
      </c>
      <c r="B41" s="54">
        <v>63</v>
      </c>
      <c r="C41" s="54" t="s">
        <v>189</v>
      </c>
      <c r="D41" s="55">
        <v>1</v>
      </c>
      <c r="E41" s="55"/>
      <c r="F41" s="55" t="s">
        <v>73</v>
      </c>
      <c r="G41" s="55"/>
      <c r="H41" s="55"/>
      <c r="I41" s="98">
        <v>0</v>
      </c>
      <c r="J41" s="78">
        <v>1</v>
      </c>
      <c r="K41" s="55">
        <f t="shared" si="0"/>
        <v>-1</v>
      </c>
      <c r="L41" s="62">
        <v>3</v>
      </c>
      <c r="M41" s="55" t="s">
        <v>58</v>
      </c>
      <c r="N41" s="55"/>
      <c r="O41" s="68" t="s">
        <v>174</v>
      </c>
      <c r="P41" s="58" t="s">
        <v>190</v>
      </c>
      <c r="Q41" s="58" t="s">
        <v>191</v>
      </c>
      <c r="R41" s="53" t="s">
        <v>122</v>
      </c>
      <c r="S41" s="45" t="s">
        <v>1241</v>
      </c>
    </row>
    <row r="42" spans="1:19" s="45" customFormat="1" ht="60" hidden="1" customHeight="1">
      <c r="A42" s="53" t="s">
        <v>115</v>
      </c>
      <c r="B42" s="54">
        <v>64</v>
      </c>
      <c r="C42" s="54" t="s">
        <v>192</v>
      </c>
      <c r="D42" s="55">
        <v>1</v>
      </c>
      <c r="E42" s="55"/>
      <c r="F42" s="55" t="s">
        <v>73</v>
      </c>
      <c r="G42" s="55"/>
      <c r="H42" s="55"/>
      <c r="I42" s="98">
        <v>0</v>
      </c>
      <c r="J42" s="78">
        <v>0</v>
      </c>
      <c r="K42" s="55">
        <f t="shared" si="0"/>
        <v>0</v>
      </c>
      <c r="L42" s="62">
        <v>3</v>
      </c>
      <c r="M42" s="55" t="s">
        <v>58</v>
      </c>
      <c r="N42" s="55"/>
      <c r="O42" s="68"/>
      <c r="P42" s="58" t="s">
        <v>193</v>
      </c>
      <c r="Q42" s="58" t="s">
        <v>185</v>
      </c>
      <c r="R42" s="53" t="s">
        <v>122</v>
      </c>
      <c r="S42" s="45" t="s">
        <v>1241</v>
      </c>
    </row>
    <row r="43" spans="1:19" s="45" customFormat="1" ht="60" hidden="1" customHeight="1">
      <c r="A43" s="53" t="s">
        <v>115</v>
      </c>
      <c r="B43" s="54">
        <v>65</v>
      </c>
      <c r="C43" s="54" t="s">
        <v>194</v>
      </c>
      <c r="D43" s="55">
        <v>1</v>
      </c>
      <c r="E43" s="55"/>
      <c r="F43" s="55" t="s">
        <v>73</v>
      </c>
      <c r="G43" s="55"/>
      <c r="H43" s="55"/>
      <c r="I43" s="98">
        <v>0</v>
      </c>
      <c r="J43" s="78">
        <v>0</v>
      </c>
      <c r="K43" s="55">
        <f t="shared" si="0"/>
        <v>0</v>
      </c>
      <c r="L43" s="62">
        <v>3</v>
      </c>
      <c r="M43" s="55" t="s">
        <v>58</v>
      </c>
      <c r="N43" s="55"/>
      <c r="O43" s="68"/>
      <c r="P43" s="58" t="s">
        <v>195</v>
      </c>
      <c r="Q43" s="58" t="s">
        <v>188</v>
      </c>
      <c r="R43" s="53" t="s">
        <v>122</v>
      </c>
      <c r="S43" s="45" t="s">
        <v>1241</v>
      </c>
    </row>
    <row r="44" spans="1:19" s="45" customFormat="1" ht="60" hidden="1" customHeight="1">
      <c r="A44" s="53" t="s">
        <v>115</v>
      </c>
      <c r="B44" s="54">
        <v>66</v>
      </c>
      <c r="C44" s="58" t="s">
        <v>196</v>
      </c>
      <c r="D44" s="59">
        <v>1</v>
      </c>
      <c r="E44" s="55" t="s">
        <v>73</v>
      </c>
      <c r="F44" s="55" t="s">
        <v>73</v>
      </c>
      <c r="G44" s="55"/>
      <c r="H44" s="55"/>
      <c r="I44" s="95">
        <f>(0.71+0.659+0.626)/3</f>
        <v>0.66500000000000004</v>
      </c>
      <c r="J44" s="96">
        <f>(1.021+1.011+0.982)/3</f>
        <v>1.0046666666666668</v>
      </c>
      <c r="K44" s="55">
        <f t="shared" si="0"/>
        <v>-0.33966666666666678</v>
      </c>
      <c r="L44" s="62" t="s">
        <v>138</v>
      </c>
      <c r="M44" s="64" t="s">
        <v>118</v>
      </c>
      <c r="N44" s="55"/>
      <c r="O44" s="68"/>
      <c r="P44" s="58" t="s">
        <v>197</v>
      </c>
      <c r="Q44" s="58" t="s">
        <v>198</v>
      </c>
      <c r="R44" s="53" t="s">
        <v>122</v>
      </c>
    </row>
    <row r="45" spans="1:19" s="45" customFormat="1" ht="60" customHeight="1">
      <c r="A45" s="53" t="s">
        <v>54</v>
      </c>
      <c r="B45" s="54">
        <v>67</v>
      </c>
      <c r="C45" s="58" t="s">
        <v>199</v>
      </c>
      <c r="D45" s="59">
        <v>1</v>
      </c>
      <c r="E45" s="55" t="s">
        <v>73</v>
      </c>
      <c r="F45" s="55" t="s">
        <v>73</v>
      </c>
      <c r="G45" s="55"/>
      <c r="H45" s="55" t="s">
        <v>65</v>
      </c>
      <c r="I45" s="95">
        <f>(1.72+1.69+1.14)/3</f>
        <v>1.5166666666666666</v>
      </c>
      <c r="J45" s="96">
        <f>(1.77+1.82+1.07)/3</f>
        <v>1.5533333333333335</v>
      </c>
      <c r="K45" s="55">
        <f t="shared" si="0"/>
        <v>-3.6666666666666847E-2</v>
      </c>
      <c r="L45" s="62" t="s">
        <v>138</v>
      </c>
      <c r="M45" s="55" t="s">
        <v>58</v>
      </c>
      <c r="N45" s="55" t="s">
        <v>59</v>
      </c>
      <c r="O45" s="68" t="s">
        <v>200</v>
      </c>
      <c r="P45" s="58" t="s">
        <v>201</v>
      </c>
      <c r="Q45" s="58" t="s">
        <v>202</v>
      </c>
      <c r="R45" s="53" t="s">
        <v>63</v>
      </c>
    </row>
    <row r="46" spans="1:19" s="45" customFormat="1" ht="60" customHeight="1">
      <c r="A46" s="53" t="s">
        <v>54</v>
      </c>
      <c r="B46" s="54">
        <v>68</v>
      </c>
      <c r="C46" s="58" t="s">
        <v>203</v>
      </c>
      <c r="D46" s="59">
        <v>1</v>
      </c>
      <c r="E46" s="55" t="s">
        <v>73</v>
      </c>
      <c r="F46" s="55" t="s">
        <v>73</v>
      </c>
      <c r="G46" s="55"/>
      <c r="H46" s="55" t="s">
        <v>65</v>
      </c>
      <c r="I46" s="95">
        <f>(1.38+1.49+1.22)/3</f>
        <v>1.3633333333333333</v>
      </c>
      <c r="J46" s="96">
        <f>(1.42+1.52+1.19)/3</f>
        <v>1.3766666666666667</v>
      </c>
      <c r="K46" s="55">
        <f t="shared" si="0"/>
        <v>-1.3333333333333419E-2</v>
      </c>
      <c r="L46" s="62" t="s">
        <v>138</v>
      </c>
      <c r="M46" s="55" t="s">
        <v>58</v>
      </c>
      <c r="N46" s="55" t="s">
        <v>59</v>
      </c>
      <c r="O46" s="68" t="s">
        <v>200</v>
      </c>
      <c r="P46" s="58" t="s">
        <v>204</v>
      </c>
      <c r="Q46" s="58" t="s">
        <v>205</v>
      </c>
      <c r="R46" s="53" t="s">
        <v>63</v>
      </c>
    </row>
    <row r="47" spans="1:19" s="45" customFormat="1" ht="60" customHeight="1">
      <c r="A47" s="53" t="s">
        <v>54</v>
      </c>
      <c r="B47" s="54">
        <v>69</v>
      </c>
      <c r="C47" s="58" t="s">
        <v>206</v>
      </c>
      <c r="D47" s="59">
        <v>1</v>
      </c>
      <c r="E47" s="55"/>
      <c r="F47" s="55" t="s">
        <v>73</v>
      </c>
      <c r="G47" s="55"/>
      <c r="H47" s="55" t="s">
        <v>65</v>
      </c>
      <c r="I47" s="95">
        <f>(1.538+1.27+1.03)/3</f>
        <v>1.2793333333333334</v>
      </c>
      <c r="J47" s="96">
        <f>(1.872+1.604+1.542)/3</f>
        <v>1.6726666666666665</v>
      </c>
      <c r="K47" s="55">
        <f t="shared" si="0"/>
        <v>-0.39333333333333309</v>
      </c>
      <c r="L47" s="62" t="s">
        <v>138</v>
      </c>
      <c r="M47" s="55" t="s">
        <v>58</v>
      </c>
      <c r="N47" s="55" t="s">
        <v>59</v>
      </c>
      <c r="O47" s="68" t="s">
        <v>200</v>
      </c>
      <c r="P47" s="58" t="s">
        <v>207</v>
      </c>
      <c r="Q47" s="58" t="s">
        <v>208</v>
      </c>
      <c r="R47" s="53" t="s">
        <v>63</v>
      </c>
    </row>
    <row r="48" spans="1:19" s="45" customFormat="1" ht="60" customHeight="1">
      <c r="A48" s="53" t="s">
        <v>54</v>
      </c>
      <c r="B48" s="54">
        <v>70</v>
      </c>
      <c r="C48" s="58" t="s">
        <v>209</v>
      </c>
      <c r="D48" s="59">
        <v>1</v>
      </c>
      <c r="E48" s="55"/>
      <c r="F48" s="55" t="s">
        <v>73</v>
      </c>
      <c r="G48" s="55"/>
      <c r="H48" s="55" t="s">
        <v>65</v>
      </c>
      <c r="I48" s="95">
        <f>(0.266+0.266+0.267)/3</f>
        <v>0.26633333333333337</v>
      </c>
      <c r="J48" s="96">
        <f>(0.935+0.878+0.774)/3</f>
        <v>0.8623333333333334</v>
      </c>
      <c r="K48" s="55">
        <f t="shared" si="0"/>
        <v>-0.59600000000000009</v>
      </c>
      <c r="L48" s="62" t="s">
        <v>138</v>
      </c>
      <c r="M48" s="55" t="s">
        <v>58</v>
      </c>
      <c r="N48" s="55" t="s">
        <v>59</v>
      </c>
      <c r="O48" s="68" t="s">
        <v>200</v>
      </c>
      <c r="P48" s="58" t="s">
        <v>210</v>
      </c>
      <c r="Q48" s="58" t="s">
        <v>211</v>
      </c>
      <c r="R48" s="53" t="s">
        <v>63</v>
      </c>
    </row>
    <row r="49" spans="1:124" s="45" customFormat="1" ht="60" customHeight="1">
      <c r="A49" s="53" t="s">
        <v>54</v>
      </c>
      <c r="B49" s="54">
        <v>71</v>
      </c>
      <c r="C49" s="58" t="s">
        <v>212</v>
      </c>
      <c r="D49" s="59">
        <v>1</v>
      </c>
      <c r="E49" s="55"/>
      <c r="F49" s="55" t="s">
        <v>73</v>
      </c>
      <c r="G49" s="55"/>
      <c r="H49" s="55" t="s">
        <v>65</v>
      </c>
      <c r="I49" s="95">
        <f>(3.29+3.08+2.71)/3</f>
        <v>3.0266666666666668</v>
      </c>
      <c r="J49" s="96">
        <f>(3.14+3.19+2.53)/3</f>
        <v>2.9533333333333331</v>
      </c>
      <c r="K49" s="55">
        <f t="shared" si="0"/>
        <v>7.3333333333333695E-2</v>
      </c>
      <c r="L49" s="62" t="s">
        <v>66</v>
      </c>
      <c r="M49" s="55" t="s">
        <v>58</v>
      </c>
      <c r="N49" s="55" t="s">
        <v>59</v>
      </c>
      <c r="O49" s="68" t="s">
        <v>200</v>
      </c>
      <c r="P49" s="58" t="s">
        <v>213</v>
      </c>
      <c r="Q49" s="58" t="s">
        <v>214</v>
      </c>
      <c r="R49" s="53" t="s">
        <v>63</v>
      </c>
    </row>
    <row r="50" spans="1:124" s="45" customFormat="1" ht="60" customHeight="1">
      <c r="A50" s="53" t="s">
        <v>54</v>
      </c>
      <c r="B50" s="54">
        <v>72</v>
      </c>
      <c r="C50" s="58" t="s">
        <v>215</v>
      </c>
      <c r="D50" s="59">
        <v>1</v>
      </c>
      <c r="E50" s="55"/>
      <c r="F50" s="55" t="s">
        <v>73</v>
      </c>
      <c r="G50" s="55"/>
      <c r="H50" s="55" t="s">
        <v>65</v>
      </c>
      <c r="I50" s="95">
        <f>(2.42+1.97+2.72)/3</f>
        <v>2.3699999999999997</v>
      </c>
      <c r="J50" s="96">
        <f>(2.04+1.86+2.8)/3</f>
        <v>2.2333333333333334</v>
      </c>
      <c r="K50" s="55">
        <f t="shared" si="0"/>
        <v>0.13666666666666627</v>
      </c>
      <c r="L50" s="62" t="s">
        <v>66</v>
      </c>
      <c r="M50" s="55" t="s">
        <v>58</v>
      </c>
      <c r="N50" s="55" t="s">
        <v>59</v>
      </c>
      <c r="O50" s="68" t="s">
        <v>200</v>
      </c>
      <c r="P50" s="58" t="s">
        <v>216</v>
      </c>
      <c r="Q50" s="58" t="s">
        <v>214</v>
      </c>
      <c r="R50" s="53" t="s">
        <v>63</v>
      </c>
    </row>
    <row r="51" spans="1:124" s="45" customFormat="1" ht="60" customHeight="1">
      <c r="A51" s="53" t="s">
        <v>54</v>
      </c>
      <c r="B51" s="54">
        <v>73</v>
      </c>
      <c r="C51" s="58" t="s">
        <v>217</v>
      </c>
      <c r="D51" s="59">
        <v>1</v>
      </c>
      <c r="E51" s="55"/>
      <c r="F51" s="55" t="s">
        <v>73</v>
      </c>
      <c r="G51" s="55"/>
      <c r="H51" s="55" t="s">
        <v>65</v>
      </c>
      <c r="I51" s="95">
        <f>(14.26+11.36+10.98)/3</f>
        <v>12.199999999999998</v>
      </c>
      <c r="J51" s="96">
        <f>(14.01+10.95+11.36)/3</f>
        <v>12.106666666666667</v>
      </c>
      <c r="K51" s="55">
        <f t="shared" si="0"/>
        <v>9.333333333333016E-2</v>
      </c>
      <c r="L51" s="62" t="s">
        <v>66</v>
      </c>
      <c r="M51" s="55" t="s">
        <v>58</v>
      </c>
      <c r="N51" s="55" t="s">
        <v>59</v>
      </c>
      <c r="O51" s="68" t="s">
        <v>200</v>
      </c>
      <c r="P51" s="58" t="s">
        <v>218</v>
      </c>
      <c r="Q51" s="58" t="s">
        <v>219</v>
      </c>
      <c r="R51" s="53" t="s">
        <v>63</v>
      </c>
    </row>
    <row r="52" spans="1:124" s="45" customFormat="1" ht="60" customHeight="1">
      <c r="A52" s="53" t="s">
        <v>54</v>
      </c>
      <c r="B52" s="54">
        <v>74</v>
      </c>
      <c r="C52" s="58" t="s">
        <v>220</v>
      </c>
      <c r="D52" s="59">
        <v>1</v>
      </c>
      <c r="E52" s="55"/>
      <c r="F52" s="55" t="s">
        <v>73</v>
      </c>
      <c r="G52" s="55"/>
      <c r="H52" s="55" t="s">
        <v>65</v>
      </c>
      <c r="I52" s="96">
        <f>(6.03+4.503+5.031)/3</f>
        <v>5.1879999999999997</v>
      </c>
      <c r="J52" s="96">
        <f>(6.03+4.513+5.031)/3</f>
        <v>5.1913333333333327</v>
      </c>
      <c r="K52" s="55">
        <f t="shared" si="0"/>
        <v>-3.3333333333329662E-3</v>
      </c>
      <c r="L52" s="62" t="s">
        <v>66</v>
      </c>
      <c r="M52" s="55" t="s">
        <v>58</v>
      </c>
      <c r="N52" s="55" t="s">
        <v>59</v>
      </c>
      <c r="O52" s="68" t="s">
        <v>200</v>
      </c>
      <c r="P52" s="58" t="s">
        <v>221</v>
      </c>
      <c r="Q52" s="58" t="s">
        <v>222</v>
      </c>
      <c r="R52" s="53" t="s">
        <v>63</v>
      </c>
    </row>
    <row r="53" spans="1:124" s="45" customFormat="1" ht="60" customHeight="1">
      <c r="A53" s="53" t="s">
        <v>54</v>
      </c>
      <c r="B53" s="54">
        <v>75</v>
      </c>
      <c r="C53" s="58" t="s">
        <v>223</v>
      </c>
      <c r="D53" s="59">
        <v>1</v>
      </c>
      <c r="E53" s="55"/>
      <c r="F53" s="55" t="s">
        <v>73</v>
      </c>
      <c r="G53" s="55"/>
      <c r="H53" s="55" t="s">
        <v>65</v>
      </c>
      <c r="I53" s="95">
        <f>(1.633+1.426+1.534)/3</f>
        <v>1.5309999999999999</v>
      </c>
      <c r="J53" s="96">
        <f>(1.493+1.962+1.739)/3</f>
        <v>1.7313333333333334</v>
      </c>
      <c r="K53" s="55">
        <f t="shared" si="0"/>
        <v>-0.20033333333333347</v>
      </c>
      <c r="L53" s="62" t="s">
        <v>66</v>
      </c>
      <c r="M53" s="55" t="s">
        <v>58</v>
      </c>
      <c r="N53" s="55" t="s">
        <v>59</v>
      </c>
      <c r="O53" s="68" t="s">
        <v>200</v>
      </c>
      <c r="P53" s="58" t="s">
        <v>224</v>
      </c>
      <c r="Q53" s="58" t="s">
        <v>225</v>
      </c>
      <c r="R53" s="53" t="s">
        <v>63</v>
      </c>
    </row>
    <row r="54" spans="1:124" s="45" customFormat="1" ht="60" customHeight="1">
      <c r="A54" s="53" t="s">
        <v>54</v>
      </c>
      <c r="B54" s="54">
        <v>76</v>
      </c>
      <c r="C54" s="58" t="s">
        <v>226</v>
      </c>
      <c r="D54" s="59">
        <v>1</v>
      </c>
      <c r="E54" s="55"/>
      <c r="F54" s="55" t="s">
        <v>73</v>
      </c>
      <c r="G54" s="55"/>
      <c r="H54" s="55" t="s">
        <v>65</v>
      </c>
      <c r="I54" s="95">
        <f>(1.2+1.145+0.987)/3</f>
        <v>1.1106666666666667</v>
      </c>
      <c r="J54" s="96">
        <f>(1.799+1.444+1.646)/3</f>
        <v>1.6296666666666664</v>
      </c>
      <c r="K54" s="55">
        <f t="shared" si="0"/>
        <v>-0.51899999999999968</v>
      </c>
      <c r="L54" s="62" t="s">
        <v>66</v>
      </c>
      <c r="M54" s="55" t="s">
        <v>58</v>
      </c>
      <c r="N54" s="55" t="s">
        <v>59</v>
      </c>
      <c r="O54" s="68" t="s">
        <v>200</v>
      </c>
      <c r="P54" s="58" t="s">
        <v>227</v>
      </c>
      <c r="Q54" s="58" t="s">
        <v>228</v>
      </c>
      <c r="R54" s="53" t="s">
        <v>63</v>
      </c>
    </row>
    <row r="55" spans="1:124" s="45" customFormat="1" ht="60" customHeight="1">
      <c r="A55" s="53" t="s">
        <v>54</v>
      </c>
      <c r="B55" s="54">
        <v>77</v>
      </c>
      <c r="C55" s="58" t="s">
        <v>229</v>
      </c>
      <c r="D55" s="59">
        <v>1.5</v>
      </c>
      <c r="E55" s="55"/>
      <c r="F55" s="55"/>
      <c r="G55" s="55"/>
      <c r="H55" s="55" t="s">
        <v>65</v>
      </c>
      <c r="I55" s="95">
        <f>(1.244+1.676+1.137)/3</f>
        <v>1.3523333333333334</v>
      </c>
      <c r="J55" s="95">
        <f>(1.245+1.676+1.137)/3</f>
        <v>1.3526666666666667</v>
      </c>
      <c r="K55" s="55">
        <f t="shared" si="0"/>
        <v>-3.3333333333329662E-4</v>
      </c>
      <c r="L55" s="62" t="s">
        <v>95</v>
      </c>
      <c r="M55" s="55" t="s">
        <v>58</v>
      </c>
      <c r="N55" s="55" t="s">
        <v>59</v>
      </c>
      <c r="O55" s="69" t="s">
        <v>230</v>
      </c>
      <c r="P55" s="58" t="s">
        <v>231</v>
      </c>
      <c r="Q55" s="70" t="s">
        <v>232</v>
      </c>
      <c r="R55" s="53" t="s">
        <v>63</v>
      </c>
    </row>
    <row r="56" spans="1:124" s="45" customFormat="1" ht="60" customHeight="1">
      <c r="A56" s="53" t="s">
        <v>54</v>
      </c>
      <c r="B56" s="54">
        <v>78</v>
      </c>
      <c r="C56" s="58" t="s">
        <v>233</v>
      </c>
      <c r="D56" s="59">
        <v>1.5</v>
      </c>
      <c r="E56" s="55"/>
      <c r="F56" s="55"/>
      <c r="G56" s="55"/>
      <c r="H56" s="55" t="s">
        <v>65</v>
      </c>
      <c r="I56" s="95">
        <f>(3.214+3.015+2.983)/3</f>
        <v>3.0706666666666664</v>
      </c>
      <c r="J56" s="55">
        <f>(3.214+3.015+2.984)/3</f>
        <v>3.0710000000000002</v>
      </c>
      <c r="K56" s="55">
        <f t="shared" si="0"/>
        <v>-3.3333333333374071E-4</v>
      </c>
      <c r="L56" s="62" t="s">
        <v>91</v>
      </c>
      <c r="M56" s="55" t="s">
        <v>58</v>
      </c>
      <c r="N56" s="55" t="s">
        <v>59</v>
      </c>
      <c r="O56" s="68" t="s">
        <v>234</v>
      </c>
      <c r="P56" s="58" t="s">
        <v>231</v>
      </c>
      <c r="Q56" s="70" t="s">
        <v>235</v>
      </c>
      <c r="R56" s="53" t="s">
        <v>63</v>
      </c>
    </row>
    <row r="57" spans="1:124" s="45" customFormat="1" ht="60" customHeight="1">
      <c r="A57" s="53" t="s">
        <v>54</v>
      </c>
      <c r="B57" s="54">
        <v>79</v>
      </c>
      <c r="C57" s="58" t="s">
        <v>236</v>
      </c>
      <c r="D57" s="59">
        <v>1.5</v>
      </c>
      <c r="E57" s="55"/>
      <c r="F57" s="55"/>
      <c r="G57" s="55"/>
      <c r="H57" s="55" t="s">
        <v>98</v>
      </c>
      <c r="I57" s="95">
        <f>(3.323+3.58+2.894)/3</f>
        <v>3.2656666666666667</v>
      </c>
      <c r="J57" s="95">
        <f>(3.325+3.58+2.894)/3</f>
        <v>3.2663333333333333</v>
      </c>
      <c r="K57" s="55">
        <f t="shared" si="0"/>
        <v>-6.6666666666659324E-4</v>
      </c>
      <c r="L57" s="62" t="s">
        <v>91</v>
      </c>
      <c r="M57" s="63" t="s">
        <v>118</v>
      </c>
      <c r="N57" s="55" t="s">
        <v>59</v>
      </c>
      <c r="O57" s="68" t="s">
        <v>237</v>
      </c>
      <c r="P57" s="58" t="s">
        <v>231</v>
      </c>
      <c r="Q57" s="70" t="s">
        <v>238</v>
      </c>
      <c r="R57" s="53" t="s">
        <v>63</v>
      </c>
    </row>
    <row r="58" spans="1:124" s="45" customFormat="1" ht="60" customHeight="1">
      <c r="A58" s="53" t="s">
        <v>54</v>
      </c>
      <c r="B58" s="54">
        <v>80</v>
      </c>
      <c r="C58" s="58" t="s">
        <v>239</v>
      </c>
      <c r="D58" s="59">
        <v>1.5</v>
      </c>
      <c r="E58" s="55"/>
      <c r="F58" s="55"/>
      <c r="G58" s="55"/>
      <c r="H58" s="55" t="s">
        <v>98</v>
      </c>
      <c r="I58" s="95">
        <f>(10.678+10.298+7.425)/3</f>
        <v>9.4670000000000005</v>
      </c>
      <c r="J58" s="95">
        <f>(10.679+10.298+7.425)/3</f>
        <v>9.4673333333333343</v>
      </c>
      <c r="K58" s="55">
        <f t="shared" si="0"/>
        <v>-3.3333333333374071E-4</v>
      </c>
      <c r="L58" s="62" t="s">
        <v>103</v>
      </c>
      <c r="M58" s="63" t="s">
        <v>118</v>
      </c>
      <c r="N58" s="55" t="s">
        <v>59</v>
      </c>
      <c r="O58" s="68" t="s">
        <v>237</v>
      </c>
      <c r="P58" s="58" t="s">
        <v>231</v>
      </c>
      <c r="Q58" s="70" t="s">
        <v>240</v>
      </c>
      <c r="R58" s="53" t="s">
        <v>63</v>
      </c>
    </row>
    <row r="59" spans="1:124" s="45" customFormat="1" ht="86" customHeight="1">
      <c r="A59" s="53" t="s">
        <v>54</v>
      </c>
      <c r="B59" s="54">
        <v>81</v>
      </c>
      <c r="C59" s="58" t="s">
        <v>241</v>
      </c>
      <c r="D59" s="59">
        <v>1.5</v>
      </c>
      <c r="E59" s="55"/>
      <c r="F59" s="55"/>
      <c r="G59" s="55"/>
      <c r="H59" s="55" t="s">
        <v>242</v>
      </c>
      <c r="I59" s="95">
        <f>(9.776+11.128+10.711)/3</f>
        <v>10.538333333333334</v>
      </c>
      <c r="J59" s="95">
        <f>(9.778+11.128+10.711)/3</f>
        <v>10.539</v>
      </c>
      <c r="K59" s="55">
        <f t="shared" si="0"/>
        <v>-6.6666666666570507E-4</v>
      </c>
      <c r="L59" s="62" t="s">
        <v>91</v>
      </c>
      <c r="M59" s="63" t="s">
        <v>118</v>
      </c>
      <c r="N59" s="55" t="s">
        <v>59</v>
      </c>
      <c r="O59" s="69" t="s">
        <v>243</v>
      </c>
      <c r="P59" s="58" t="s">
        <v>244</v>
      </c>
      <c r="Q59" s="70" t="s">
        <v>245</v>
      </c>
      <c r="R59" s="53" t="s">
        <v>63</v>
      </c>
    </row>
    <row r="60" spans="1:124" s="46" customFormat="1" ht="60" customHeight="1">
      <c r="A60" s="53" t="s">
        <v>54</v>
      </c>
      <c r="B60" s="54">
        <v>95</v>
      </c>
      <c r="C60" s="53" t="s">
        <v>246</v>
      </c>
      <c r="D60" s="59">
        <v>0.5</v>
      </c>
      <c r="E60" s="60"/>
      <c r="F60" s="55" t="s">
        <v>73</v>
      </c>
      <c r="G60" s="60"/>
      <c r="H60" s="60" t="s">
        <v>161</v>
      </c>
      <c r="I60" s="97">
        <f>(334+566+334)/3</f>
        <v>411.33333333333331</v>
      </c>
      <c r="J60" s="97">
        <f>(334+566+335)/3</f>
        <v>411.66666666666669</v>
      </c>
      <c r="K60" s="55">
        <f t="shared" si="0"/>
        <v>-0.33333333333337123</v>
      </c>
      <c r="L60" s="65">
        <v>2</v>
      </c>
      <c r="M60" s="60" t="s">
        <v>58</v>
      </c>
      <c r="N60" s="53"/>
      <c r="O60" s="71"/>
      <c r="P60" s="58" t="s">
        <v>247</v>
      </c>
      <c r="Q60" s="53"/>
      <c r="R60" s="53" t="s">
        <v>63</v>
      </c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</row>
    <row r="61" spans="1:124" s="46" customFormat="1" ht="60" customHeight="1">
      <c r="A61" s="53" t="s">
        <v>54</v>
      </c>
      <c r="B61" s="54">
        <v>96</v>
      </c>
      <c r="C61" s="53" t="s">
        <v>248</v>
      </c>
      <c r="D61" s="59">
        <v>0.5</v>
      </c>
      <c r="E61" s="60"/>
      <c r="F61" s="55" t="s">
        <v>73</v>
      </c>
      <c r="G61" s="60"/>
      <c r="H61" s="55" t="s">
        <v>86</v>
      </c>
      <c r="I61" s="95">
        <f>(1.089+0.941+0.627)/3</f>
        <v>0.88566666666666671</v>
      </c>
      <c r="J61" s="96">
        <f>(3+1.9+2.3)/3</f>
        <v>2.4</v>
      </c>
      <c r="K61" s="55">
        <f t="shared" si="0"/>
        <v>-1.5143333333333331</v>
      </c>
      <c r="L61" s="65">
        <v>2</v>
      </c>
      <c r="M61" s="60" t="s">
        <v>58</v>
      </c>
      <c r="N61" s="53"/>
      <c r="O61" s="72"/>
      <c r="P61" s="58" t="s">
        <v>249</v>
      </c>
      <c r="Q61" s="53" t="s">
        <v>250</v>
      </c>
      <c r="R61" s="53" t="s">
        <v>63</v>
      </c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</row>
    <row r="62" spans="1:124" s="46" customFormat="1" ht="60" customHeight="1">
      <c r="A62" s="53" t="s">
        <v>54</v>
      </c>
      <c r="B62" s="54">
        <v>97</v>
      </c>
      <c r="C62" s="53" t="s">
        <v>251</v>
      </c>
      <c r="D62" s="59">
        <v>0.5</v>
      </c>
      <c r="E62" s="60"/>
      <c r="F62" s="55" t="s">
        <v>73</v>
      </c>
      <c r="G62" s="60"/>
      <c r="H62" s="55" t="s">
        <v>161</v>
      </c>
      <c r="I62" s="95">
        <f>(0.526+0.49+0.513)/3</f>
        <v>0.5096666666666666</v>
      </c>
      <c r="J62" s="96">
        <f>(1.466+0.967+0.799)/3</f>
        <v>1.0773333333333333</v>
      </c>
      <c r="K62" s="55">
        <f t="shared" si="0"/>
        <v>-0.56766666666666665</v>
      </c>
      <c r="L62" s="65">
        <v>2</v>
      </c>
      <c r="M62" s="60" t="s">
        <v>58</v>
      </c>
      <c r="N62" s="53"/>
      <c r="O62" s="72"/>
      <c r="P62" s="58" t="s">
        <v>252</v>
      </c>
      <c r="Q62" s="53" t="s">
        <v>250</v>
      </c>
      <c r="R62" s="53" t="s">
        <v>63</v>
      </c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</row>
    <row r="63" spans="1:124" s="46" customFormat="1" ht="60" customHeight="1">
      <c r="A63" s="53" t="s">
        <v>54</v>
      </c>
      <c r="B63" s="54">
        <v>98</v>
      </c>
      <c r="C63" s="53" t="s">
        <v>253</v>
      </c>
      <c r="D63" s="59">
        <v>0.5</v>
      </c>
      <c r="E63" s="60"/>
      <c r="F63" s="55" t="s">
        <v>73</v>
      </c>
      <c r="G63" s="60"/>
      <c r="H63" s="55" t="s">
        <v>86</v>
      </c>
      <c r="I63" s="95" t="s">
        <v>254</v>
      </c>
      <c r="J63" s="55" t="s">
        <v>254</v>
      </c>
      <c r="K63" s="55" t="s">
        <v>254</v>
      </c>
      <c r="L63" s="65">
        <v>2</v>
      </c>
      <c r="M63" s="60" t="s">
        <v>58</v>
      </c>
      <c r="N63" s="53"/>
      <c r="O63" s="72"/>
      <c r="P63" s="58" t="s">
        <v>255</v>
      </c>
      <c r="Q63" s="53" t="s">
        <v>250</v>
      </c>
      <c r="R63" s="53" t="s">
        <v>63</v>
      </c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</row>
    <row r="64" spans="1:124" s="46" customFormat="1" ht="60" customHeight="1">
      <c r="A64" s="53" t="s">
        <v>54</v>
      </c>
      <c r="B64" s="54">
        <v>99</v>
      </c>
      <c r="C64" s="53" t="s">
        <v>256</v>
      </c>
      <c r="D64" s="59">
        <v>0.5</v>
      </c>
      <c r="E64" s="60"/>
      <c r="F64" s="55" t="s">
        <v>73</v>
      </c>
      <c r="G64" s="60"/>
      <c r="H64" s="55" t="s">
        <v>161</v>
      </c>
      <c r="I64" s="95" t="s">
        <v>254</v>
      </c>
      <c r="J64" s="55" t="s">
        <v>254</v>
      </c>
      <c r="K64" s="55" t="s">
        <v>254</v>
      </c>
      <c r="L64" s="65">
        <v>2</v>
      </c>
      <c r="M64" s="60" t="s">
        <v>58</v>
      </c>
      <c r="N64" s="53"/>
      <c r="O64" s="72"/>
      <c r="P64" s="58" t="s">
        <v>257</v>
      </c>
      <c r="Q64" s="53" t="s">
        <v>250</v>
      </c>
      <c r="R64" s="53" t="s">
        <v>63</v>
      </c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</row>
    <row r="65" spans="1:124" s="46" customFormat="1" ht="60" customHeight="1">
      <c r="A65" s="53" t="s">
        <v>54</v>
      </c>
      <c r="B65" s="54">
        <v>100</v>
      </c>
      <c r="C65" s="53" t="s">
        <v>258</v>
      </c>
      <c r="D65" s="59">
        <v>0.5</v>
      </c>
      <c r="E65" s="60"/>
      <c r="F65" s="55" t="s">
        <v>73</v>
      </c>
      <c r="G65" s="60"/>
      <c r="H65" s="55" t="s">
        <v>86</v>
      </c>
      <c r="I65" s="95">
        <f>(0.767+0.733+0.733)/3</f>
        <v>0.7443333333333334</v>
      </c>
      <c r="J65" s="81">
        <f>(2.51+2.6+2.71)/3</f>
        <v>2.6066666666666665</v>
      </c>
      <c r="K65" s="55">
        <f t="shared" si="0"/>
        <v>-1.862333333333333</v>
      </c>
      <c r="L65" s="65">
        <v>2</v>
      </c>
      <c r="M65" s="60" t="s">
        <v>58</v>
      </c>
      <c r="N65" s="53"/>
      <c r="O65" s="72"/>
      <c r="P65" s="58" t="s">
        <v>259</v>
      </c>
      <c r="Q65" s="53" t="s">
        <v>250</v>
      </c>
      <c r="R65" s="53" t="s">
        <v>63</v>
      </c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</row>
    <row r="66" spans="1:124" s="46" customFormat="1" ht="60" customHeight="1">
      <c r="A66" s="53" t="s">
        <v>54</v>
      </c>
      <c r="B66" s="54">
        <v>101</v>
      </c>
      <c r="C66" s="53" t="s">
        <v>260</v>
      </c>
      <c r="D66" s="59">
        <v>0.5</v>
      </c>
      <c r="E66" s="60"/>
      <c r="F66" s="55" t="s">
        <v>73</v>
      </c>
      <c r="G66" s="60"/>
      <c r="H66" s="55" t="s">
        <v>161</v>
      </c>
      <c r="I66" s="55">
        <f>(566+500+533)/3</f>
        <v>533</v>
      </c>
      <c r="J66" s="80">
        <f>(450+630+750)/3</f>
        <v>610</v>
      </c>
      <c r="K66" s="55">
        <f t="shared" si="0"/>
        <v>-77</v>
      </c>
      <c r="L66" s="65">
        <v>2</v>
      </c>
      <c r="M66" s="60" t="s">
        <v>58</v>
      </c>
      <c r="N66" s="53"/>
      <c r="O66" s="72"/>
      <c r="P66" s="58" t="s">
        <v>261</v>
      </c>
      <c r="Q66" s="53" t="s">
        <v>250</v>
      </c>
      <c r="R66" s="53" t="s">
        <v>63</v>
      </c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</row>
    <row r="67" spans="1:124" s="46" customFormat="1" ht="60" customHeight="1">
      <c r="A67" s="53" t="s">
        <v>54</v>
      </c>
      <c r="B67" s="54">
        <v>102</v>
      </c>
      <c r="C67" s="53" t="s">
        <v>262</v>
      </c>
      <c r="D67" s="59">
        <v>0.5</v>
      </c>
      <c r="E67" s="60"/>
      <c r="F67" s="55" t="s">
        <v>73</v>
      </c>
      <c r="G67" s="60"/>
      <c r="H67" s="55" t="s">
        <v>86</v>
      </c>
      <c r="I67" s="95">
        <f>(4.8+4.634+4.467)/3</f>
        <v>4.6336666666666666</v>
      </c>
      <c r="J67" s="55">
        <f>(4.8+4.638+4.467)/3</f>
        <v>4.6349999999999989</v>
      </c>
      <c r="K67" s="55">
        <f t="shared" ref="K67:K100" si="1">I67-J67</f>
        <v>-1.3333333333322983E-3</v>
      </c>
      <c r="L67" s="65">
        <v>2</v>
      </c>
      <c r="M67" s="60" t="s">
        <v>58</v>
      </c>
      <c r="N67" s="53"/>
      <c r="O67" s="72"/>
      <c r="P67" s="58" t="s">
        <v>263</v>
      </c>
      <c r="Q67" s="53" t="s">
        <v>250</v>
      </c>
      <c r="R67" s="53" t="s">
        <v>63</v>
      </c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</row>
    <row r="68" spans="1:124" s="46" customFormat="1" ht="60" customHeight="1">
      <c r="A68" s="106" t="s">
        <v>54</v>
      </c>
      <c r="B68" s="107">
        <v>103</v>
      </c>
      <c r="C68" s="106" t="s">
        <v>264</v>
      </c>
      <c r="D68" s="115">
        <v>0.5</v>
      </c>
      <c r="E68" s="116"/>
      <c r="F68" s="108" t="s">
        <v>73</v>
      </c>
      <c r="G68" s="116"/>
      <c r="H68" s="108" t="s">
        <v>161</v>
      </c>
      <c r="I68" s="112">
        <f>(166+233+200)/3</f>
        <v>199.66666666666666</v>
      </c>
      <c r="J68" s="112">
        <f>(210+230+198)/3</f>
        <v>212.66666666666666</v>
      </c>
      <c r="K68" s="108">
        <f t="shared" si="1"/>
        <v>-13</v>
      </c>
      <c r="L68" s="117">
        <v>2</v>
      </c>
      <c r="M68" s="116" t="s">
        <v>58</v>
      </c>
      <c r="N68" s="106"/>
      <c r="O68" s="118"/>
      <c r="P68" s="88" t="s">
        <v>265</v>
      </c>
      <c r="Q68" s="106" t="s">
        <v>250</v>
      </c>
      <c r="R68" s="106" t="s">
        <v>63</v>
      </c>
      <c r="S68" s="119" t="s">
        <v>1242</v>
      </c>
    </row>
    <row r="69" spans="1:124" s="46" customFormat="1" ht="60" customHeight="1">
      <c r="A69" s="53" t="s">
        <v>54</v>
      </c>
      <c r="B69" s="54">
        <v>105</v>
      </c>
      <c r="C69" s="53" t="s">
        <v>266</v>
      </c>
      <c r="D69" s="59">
        <v>0.5</v>
      </c>
      <c r="E69" s="60"/>
      <c r="F69" s="55" t="s">
        <v>73</v>
      </c>
      <c r="G69" s="60"/>
      <c r="H69" s="55" t="s">
        <v>86</v>
      </c>
      <c r="I69" s="78">
        <f>(4+3.8+3.24)/3</f>
        <v>3.6799999999999997</v>
      </c>
      <c r="J69" s="96">
        <f>(4+3.8+3.28)/3</f>
        <v>3.6933333333333334</v>
      </c>
      <c r="K69" s="55">
        <f t="shared" si="1"/>
        <v>-1.3333333333333641E-2</v>
      </c>
      <c r="L69" s="65">
        <v>2</v>
      </c>
      <c r="M69" s="60" t="s">
        <v>58</v>
      </c>
      <c r="N69" s="53"/>
      <c r="O69" s="72"/>
      <c r="P69" s="58" t="s">
        <v>267</v>
      </c>
      <c r="Q69" s="53" t="s">
        <v>250</v>
      </c>
      <c r="R69" s="53" t="s">
        <v>63</v>
      </c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</row>
    <row r="70" spans="1:124" s="46" customFormat="1" ht="60" customHeight="1">
      <c r="A70" s="53" t="s">
        <v>54</v>
      </c>
      <c r="B70" s="54">
        <v>106</v>
      </c>
      <c r="C70" s="53" t="s">
        <v>268</v>
      </c>
      <c r="D70" s="59">
        <v>0.5</v>
      </c>
      <c r="E70" s="60"/>
      <c r="F70" s="55" t="s">
        <v>73</v>
      </c>
      <c r="G70" s="60"/>
      <c r="H70" s="55" t="s">
        <v>161</v>
      </c>
      <c r="I70" s="96">
        <f>(2362+2685+2818)/3</f>
        <v>2621.6666666666665</v>
      </c>
      <c r="J70" s="96">
        <f>(2362+2688+2818)/3</f>
        <v>2622.6666666666665</v>
      </c>
      <c r="K70" s="55">
        <f t="shared" si="1"/>
        <v>-1</v>
      </c>
      <c r="L70" s="65">
        <v>2</v>
      </c>
      <c r="M70" s="60" t="s">
        <v>58</v>
      </c>
      <c r="N70" s="53"/>
      <c r="O70" s="72"/>
      <c r="P70" s="58" t="s">
        <v>269</v>
      </c>
      <c r="Q70" s="53" t="s">
        <v>250</v>
      </c>
      <c r="R70" s="53" t="s">
        <v>63</v>
      </c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</row>
    <row r="71" spans="1:124" s="46" customFormat="1" ht="60" customHeight="1">
      <c r="A71" s="53" t="s">
        <v>54</v>
      </c>
      <c r="B71" s="54">
        <v>107</v>
      </c>
      <c r="C71" s="53" t="s">
        <v>270</v>
      </c>
      <c r="D71" s="59">
        <v>0.5</v>
      </c>
      <c r="E71" s="60"/>
      <c r="F71" s="55" t="s">
        <v>73</v>
      </c>
      <c r="G71" s="60"/>
      <c r="H71" s="55" t="s">
        <v>86</v>
      </c>
      <c r="I71" s="55" t="s">
        <v>254</v>
      </c>
      <c r="J71" s="55" t="s">
        <v>254</v>
      </c>
      <c r="K71" s="55" t="s">
        <v>254</v>
      </c>
      <c r="L71" s="65">
        <v>2</v>
      </c>
      <c r="M71" s="60" t="s">
        <v>58</v>
      </c>
      <c r="N71" s="53"/>
      <c r="O71" s="72"/>
      <c r="P71" s="58" t="s">
        <v>271</v>
      </c>
      <c r="Q71" s="53" t="s">
        <v>250</v>
      </c>
      <c r="R71" s="53" t="s">
        <v>63</v>
      </c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</row>
    <row r="72" spans="1:124" s="46" customFormat="1" ht="60" customHeight="1">
      <c r="A72" s="53" t="s">
        <v>54</v>
      </c>
      <c r="B72" s="54">
        <v>108</v>
      </c>
      <c r="C72" s="53" t="s">
        <v>272</v>
      </c>
      <c r="D72" s="59">
        <v>0.5</v>
      </c>
      <c r="E72" s="60"/>
      <c r="F72" s="55" t="s">
        <v>73</v>
      </c>
      <c r="G72" s="60"/>
      <c r="H72" s="55" t="s">
        <v>161</v>
      </c>
      <c r="I72" s="55" t="s">
        <v>254</v>
      </c>
      <c r="J72" s="55" t="s">
        <v>254</v>
      </c>
      <c r="K72" s="55" t="s">
        <v>254</v>
      </c>
      <c r="L72" s="65">
        <v>2</v>
      </c>
      <c r="M72" s="60" t="s">
        <v>58</v>
      </c>
      <c r="N72" s="53"/>
      <c r="O72" s="72"/>
      <c r="P72" s="58" t="s">
        <v>273</v>
      </c>
      <c r="Q72" s="53" t="s">
        <v>250</v>
      </c>
      <c r="R72" s="53" t="s">
        <v>63</v>
      </c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</row>
    <row r="73" spans="1:124" s="46" customFormat="1" ht="60" customHeight="1">
      <c r="A73" s="53" t="s">
        <v>54</v>
      </c>
      <c r="B73" s="54">
        <v>109</v>
      </c>
      <c r="C73" s="53" t="s">
        <v>274</v>
      </c>
      <c r="D73" s="59">
        <v>0.5</v>
      </c>
      <c r="E73" s="60"/>
      <c r="F73" s="55" t="s">
        <v>73</v>
      </c>
      <c r="G73" s="60"/>
      <c r="H73" s="55" t="s">
        <v>86</v>
      </c>
      <c r="I73" s="78">
        <f>(1.22+1.08+1.24)/3</f>
        <v>1.18</v>
      </c>
      <c r="J73" s="78">
        <f>(1.22+1.09+1.24)/3</f>
        <v>1.1833333333333333</v>
      </c>
      <c r="K73" s="55">
        <f t="shared" si="1"/>
        <v>-3.3333333333334103E-3</v>
      </c>
      <c r="L73" s="65">
        <v>2</v>
      </c>
      <c r="M73" s="60" t="s">
        <v>58</v>
      </c>
      <c r="N73" s="53"/>
      <c r="O73" s="72"/>
      <c r="P73" s="58" t="s">
        <v>275</v>
      </c>
      <c r="Q73" s="53" t="s">
        <v>250</v>
      </c>
      <c r="R73" s="53" t="s">
        <v>63</v>
      </c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</row>
    <row r="74" spans="1:124" s="46" customFormat="1" ht="60" customHeight="1">
      <c r="A74" s="53" t="s">
        <v>54</v>
      </c>
      <c r="B74" s="54">
        <v>110</v>
      </c>
      <c r="C74" s="53" t="s">
        <v>276</v>
      </c>
      <c r="D74" s="59">
        <v>0.5</v>
      </c>
      <c r="E74" s="60"/>
      <c r="F74" s="55" t="s">
        <v>73</v>
      </c>
      <c r="G74" s="60"/>
      <c r="H74" s="55" t="s">
        <v>161</v>
      </c>
      <c r="I74" s="78">
        <f>(923+865+882)/3</f>
        <v>890</v>
      </c>
      <c r="J74" s="78">
        <f>(923+866+882)/3</f>
        <v>890.33333333333337</v>
      </c>
      <c r="K74" s="55">
        <f t="shared" si="1"/>
        <v>-0.33333333333337123</v>
      </c>
      <c r="L74" s="65">
        <v>2</v>
      </c>
      <c r="M74" s="60" t="s">
        <v>58</v>
      </c>
      <c r="N74" s="53"/>
      <c r="O74" s="72"/>
      <c r="P74" s="58" t="s">
        <v>277</v>
      </c>
      <c r="Q74" s="53" t="s">
        <v>250</v>
      </c>
      <c r="R74" s="53" t="s">
        <v>63</v>
      </c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</row>
    <row r="75" spans="1:124" s="46" customFormat="1" ht="60" customHeight="1">
      <c r="A75" s="53" t="s">
        <v>54</v>
      </c>
      <c r="B75" s="54">
        <v>111</v>
      </c>
      <c r="C75" s="53" t="s">
        <v>278</v>
      </c>
      <c r="D75" s="59">
        <v>0.5</v>
      </c>
      <c r="E75" s="60"/>
      <c r="F75" s="55" t="s">
        <v>73</v>
      </c>
      <c r="G75" s="60"/>
      <c r="H75" s="55" t="s">
        <v>86</v>
      </c>
      <c r="I75" s="55">
        <f>(1.163+1.39+1.548)/3</f>
        <v>1.367</v>
      </c>
      <c r="J75" s="96">
        <f>(4.301+4.297+4.588)/3</f>
        <v>4.3953333333333333</v>
      </c>
      <c r="K75" s="55">
        <f t="shared" si="1"/>
        <v>-3.0283333333333333</v>
      </c>
      <c r="L75" s="65">
        <v>2</v>
      </c>
      <c r="M75" s="60" t="s">
        <v>58</v>
      </c>
      <c r="N75" s="53"/>
      <c r="O75" s="72"/>
      <c r="P75" s="58" t="s">
        <v>279</v>
      </c>
      <c r="Q75" s="53" t="s">
        <v>250</v>
      </c>
      <c r="R75" s="53" t="s">
        <v>63</v>
      </c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</row>
    <row r="76" spans="1:124" s="46" customFormat="1" ht="60" customHeight="1">
      <c r="A76" s="53" t="s">
        <v>54</v>
      </c>
      <c r="B76" s="54">
        <v>112</v>
      </c>
      <c r="C76" s="53" t="s">
        <v>280</v>
      </c>
      <c r="D76" s="59">
        <v>0.5</v>
      </c>
      <c r="E76" s="60"/>
      <c r="F76" s="55" t="s">
        <v>73</v>
      </c>
      <c r="G76" s="60"/>
      <c r="H76" s="55" t="s">
        <v>161</v>
      </c>
      <c r="I76" s="96">
        <f>(533+633+437)/3</f>
        <v>534.33333333333337</v>
      </c>
      <c r="J76" s="96">
        <f>(533+633+438)/3</f>
        <v>534.66666666666663</v>
      </c>
      <c r="K76" s="55">
        <f t="shared" si="1"/>
        <v>-0.33333333333325754</v>
      </c>
      <c r="L76" s="65">
        <v>2</v>
      </c>
      <c r="M76" s="60" t="s">
        <v>58</v>
      </c>
      <c r="N76" s="53"/>
      <c r="O76" s="72"/>
      <c r="P76" s="58" t="s">
        <v>281</v>
      </c>
      <c r="Q76" s="53" t="s">
        <v>250</v>
      </c>
      <c r="R76" s="53" t="s">
        <v>63</v>
      </c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</row>
    <row r="77" spans="1:124" s="45" customFormat="1" ht="60" customHeight="1">
      <c r="A77" s="53" t="s">
        <v>54</v>
      </c>
      <c r="B77" s="54">
        <v>113</v>
      </c>
      <c r="C77" s="53" t="s">
        <v>282</v>
      </c>
      <c r="D77" s="59">
        <v>0.5</v>
      </c>
      <c r="E77" s="60"/>
      <c r="F77" s="55" t="s">
        <v>73</v>
      </c>
      <c r="G77" s="60"/>
      <c r="H77" s="55" t="s">
        <v>86</v>
      </c>
      <c r="I77" s="55">
        <f>(12.38+11.22+11.71)/3</f>
        <v>11.770000000000001</v>
      </c>
      <c r="J77" s="78">
        <f>(12.21+11.98+11.33)/3</f>
        <v>11.840000000000002</v>
      </c>
      <c r="K77" s="55">
        <f t="shared" si="1"/>
        <v>-7.0000000000000284E-2</v>
      </c>
      <c r="L77" s="65">
        <v>2</v>
      </c>
      <c r="M77" s="60" t="s">
        <v>58</v>
      </c>
      <c r="N77" s="53"/>
      <c r="O77" s="72" t="s">
        <v>283</v>
      </c>
      <c r="P77" s="58" t="s">
        <v>284</v>
      </c>
      <c r="Q77" s="53" t="s">
        <v>285</v>
      </c>
      <c r="R77" s="53" t="s">
        <v>63</v>
      </c>
    </row>
    <row r="78" spans="1:124" s="46" customFormat="1" ht="60" customHeight="1">
      <c r="A78" s="53" t="s">
        <v>54</v>
      </c>
      <c r="B78" s="54">
        <v>114</v>
      </c>
      <c r="C78" s="53" t="s">
        <v>286</v>
      </c>
      <c r="D78" s="59">
        <v>0.5</v>
      </c>
      <c r="E78" s="60"/>
      <c r="F78" s="55" t="s">
        <v>73</v>
      </c>
      <c r="G78" s="60"/>
      <c r="H78" s="55" t="s">
        <v>86</v>
      </c>
      <c r="I78" s="55" t="s">
        <v>254</v>
      </c>
      <c r="J78" s="55" t="s">
        <v>254</v>
      </c>
      <c r="K78" s="55" t="s">
        <v>254</v>
      </c>
      <c r="L78" s="65">
        <v>2</v>
      </c>
      <c r="M78" s="60" t="s">
        <v>58</v>
      </c>
      <c r="N78" s="53"/>
      <c r="O78" s="72"/>
      <c r="P78" s="58" t="s">
        <v>287</v>
      </c>
      <c r="Q78" s="53" t="s">
        <v>250</v>
      </c>
      <c r="R78" s="53" t="s">
        <v>63</v>
      </c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</row>
    <row r="79" spans="1:124" s="46" customFormat="1" ht="60" customHeight="1">
      <c r="A79" s="53" t="s">
        <v>54</v>
      </c>
      <c r="B79" s="54">
        <v>115</v>
      </c>
      <c r="C79" s="53" t="s">
        <v>288</v>
      </c>
      <c r="D79" s="59">
        <v>0.5</v>
      </c>
      <c r="E79" s="60"/>
      <c r="F79" s="55" t="s">
        <v>73</v>
      </c>
      <c r="G79" s="60"/>
      <c r="H79" s="55" t="s">
        <v>161</v>
      </c>
      <c r="I79" s="55" t="s">
        <v>254</v>
      </c>
      <c r="J79" s="55" t="s">
        <v>254</v>
      </c>
      <c r="K79" s="55" t="s">
        <v>254</v>
      </c>
      <c r="L79" s="65">
        <v>2</v>
      </c>
      <c r="M79" s="60" t="s">
        <v>58</v>
      </c>
      <c r="N79" s="53"/>
      <c r="O79" s="72"/>
      <c r="P79" s="58" t="s">
        <v>289</v>
      </c>
      <c r="Q79" s="53" t="s">
        <v>250</v>
      </c>
      <c r="R79" s="53" t="s">
        <v>63</v>
      </c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</row>
    <row r="80" spans="1:124" s="46" customFormat="1" ht="60" customHeight="1">
      <c r="A80" s="53" t="s">
        <v>54</v>
      </c>
      <c r="B80" s="54">
        <v>116</v>
      </c>
      <c r="C80" s="53" t="s">
        <v>290</v>
      </c>
      <c r="D80" s="59">
        <v>0.5</v>
      </c>
      <c r="E80" s="60"/>
      <c r="F80" s="55" t="s">
        <v>73</v>
      </c>
      <c r="G80" s="60"/>
      <c r="H80" s="55" t="s">
        <v>86</v>
      </c>
      <c r="I80" s="55" t="s">
        <v>254</v>
      </c>
      <c r="J80" s="55" t="s">
        <v>254</v>
      </c>
      <c r="K80" s="55" t="s">
        <v>254</v>
      </c>
      <c r="L80" s="65">
        <v>2</v>
      </c>
      <c r="M80" s="60" t="s">
        <v>58</v>
      </c>
      <c r="N80" s="53"/>
      <c r="O80" s="72"/>
      <c r="P80" s="58" t="s">
        <v>291</v>
      </c>
      <c r="Q80" s="53" t="s">
        <v>250</v>
      </c>
      <c r="R80" s="53" t="s">
        <v>63</v>
      </c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4" s="46" customFormat="1" ht="60" customHeight="1">
      <c r="A81" s="53" t="s">
        <v>54</v>
      </c>
      <c r="B81" s="54">
        <v>117</v>
      </c>
      <c r="C81" s="53" t="s">
        <v>292</v>
      </c>
      <c r="D81" s="59">
        <v>0.5</v>
      </c>
      <c r="E81" s="60"/>
      <c r="F81" s="55" t="s">
        <v>73</v>
      </c>
      <c r="G81" s="60"/>
      <c r="H81" s="55" t="s">
        <v>161</v>
      </c>
      <c r="I81" s="55" t="s">
        <v>254</v>
      </c>
      <c r="J81" s="55" t="s">
        <v>254</v>
      </c>
      <c r="K81" s="55" t="s">
        <v>254</v>
      </c>
      <c r="L81" s="65">
        <v>2</v>
      </c>
      <c r="M81" s="60" t="s">
        <v>58</v>
      </c>
      <c r="N81" s="53"/>
      <c r="O81" s="72"/>
      <c r="P81" s="58" t="s">
        <v>293</v>
      </c>
      <c r="Q81" s="53" t="s">
        <v>250</v>
      </c>
      <c r="R81" s="53" t="s">
        <v>63</v>
      </c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</row>
    <row r="82" spans="1:124" s="46" customFormat="1" ht="60" customHeight="1">
      <c r="A82" s="53" t="s">
        <v>54</v>
      </c>
      <c r="B82" s="54">
        <v>118</v>
      </c>
      <c r="C82" s="53" t="s">
        <v>294</v>
      </c>
      <c r="D82" s="59">
        <v>0.5</v>
      </c>
      <c r="E82" s="60"/>
      <c r="F82" s="55" t="s">
        <v>73</v>
      </c>
      <c r="G82" s="60"/>
      <c r="H82" s="55" t="s">
        <v>86</v>
      </c>
      <c r="I82" s="55" t="s">
        <v>254</v>
      </c>
      <c r="J82" s="55" t="s">
        <v>254</v>
      </c>
      <c r="K82" s="55" t="s">
        <v>254</v>
      </c>
      <c r="L82" s="65">
        <v>2</v>
      </c>
      <c r="M82" s="60" t="s">
        <v>58</v>
      </c>
      <c r="N82" s="53"/>
      <c r="O82" s="72"/>
      <c r="P82" s="58" t="s">
        <v>295</v>
      </c>
      <c r="Q82" s="53" t="s">
        <v>250</v>
      </c>
      <c r="R82" s="53" t="s">
        <v>63</v>
      </c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</row>
    <row r="83" spans="1:124" s="46" customFormat="1" ht="60" customHeight="1">
      <c r="A83" s="53" t="s">
        <v>54</v>
      </c>
      <c r="B83" s="54">
        <v>119</v>
      </c>
      <c r="C83" s="53" t="s">
        <v>296</v>
      </c>
      <c r="D83" s="59">
        <v>0.5</v>
      </c>
      <c r="E83" s="60"/>
      <c r="F83" s="55" t="s">
        <v>73</v>
      </c>
      <c r="G83" s="60"/>
      <c r="H83" s="55" t="s">
        <v>161</v>
      </c>
      <c r="I83" s="55" t="s">
        <v>254</v>
      </c>
      <c r="J83" s="55" t="s">
        <v>254</v>
      </c>
      <c r="K83" s="55" t="s">
        <v>254</v>
      </c>
      <c r="L83" s="65">
        <v>2</v>
      </c>
      <c r="M83" s="60" t="s">
        <v>58</v>
      </c>
      <c r="N83" s="53"/>
      <c r="O83" s="72"/>
      <c r="P83" s="58" t="s">
        <v>297</v>
      </c>
      <c r="Q83" s="53" t="s">
        <v>250</v>
      </c>
      <c r="R83" s="53" t="s">
        <v>63</v>
      </c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</row>
    <row r="84" spans="1:124" s="46" customFormat="1" ht="60" customHeight="1">
      <c r="A84" s="53" t="s">
        <v>54</v>
      </c>
      <c r="B84" s="54">
        <v>120</v>
      </c>
      <c r="C84" s="53" t="s">
        <v>298</v>
      </c>
      <c r="D84" s="59">
        <v>0.5</v>
      </c>
      <c r="E84" s="60"/>
      <c r="F84" s="55" t="s">
        <v>73</v>
      </c>
      <c r="G84" s="60"/>
      <c r="H84" s="55" t="s">
        <v>86</v>
      </c>
      <c r="I84" s="55">
        <f>(0.735+0.702+0.711)/3</f>
        <v>0.71599999999999986</v>
      </c>
      <c r="J84" s="78">
        <f>(0.768+0.736+0.755)/3</f>
        <v>0.753</v>
      </c>
      <c r="K84" s="55">
        <f t="shared" si="1"/>
        <v>-3.7000000000000144E-2</v>
      </c>
      <c r="L84" s="65">
        <v>2</v>
      </c>
      <c r="M84" s="60" t="s">
        <v>58</v>
      </c>
      <c r="N84" s="53"/>
      <c r="O84" s="72"/>
      <c r="P84" s="58" t="s">
        <v>299</v>
      </c>
      <c r="Q84" s="53" t="s">
        <v>250</v>
      </c>
      <c r="R84" s="53" t="s">
        <v>63</v>
      </c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</row>
    <row r="85" spans="1:124" s="46" customFormat="1" ht="60" customHeight="1">
      <c r="A85" s="53" t="s">
        <v>54</v>
      </c>
      <c r="B85" s="54">
        <v>121</v>
      </c>
      <c r="C85" s="53" t="s">
        <v>300</v>
      </c>
      <c r="D85" s="59">
        <v>0.5</v>
      </c>
      <c r="E85" s="60"/>
      <c r="F85" s="55" t="s">
        <v>73</v>
      </c>
      <c r="G85" s="60"/>
      <c r="H85" s="55" t="s">
        <v>161</v>
      </c>
      <c r="I85" s="96">
        <f>(535+569+535)/3</f>
        <v>546.33333333333337</v>
      </c>
      <c r="J85" s="96">
        <f>(536+569+535)/3</f>
        <v>546.66666666666663</v>
      </c>
      <c r="K85" s="55">
        <f t="shared" si="1"/>
        <v>-0.33333333333325754</v>
      </c>
      <c r="L85" s="65">
        <v>2</v>
      </c>
      <c r="M85" s="60" t="s">
        <v>58</v>
      </c>
      <c r="N85" s="53"/>
      <c r="O85" s="72"/>
      <c r="P85" s="58" t="s">
        <v>301</v>
      </c>
      <c r="Q85" s="53" t="s">
        <v>250</v>
      </c>
      <c r="R85" s="53" t="s">
        <v>63</v>
      </c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</row>
    <row r="86" spans="1:124" s="46" customFormat="1" ht="60" customHeight="1">
      <c r="A86" s="53" t="s">
        <v>54</v>
      </c>
      <c r="B86" s="54">
        <v>122</v>
      </c>
      <c r="C86" s="53" t="s">
        <v>302</v>
      </c>
      <c r="D86" s="59">
        <v>0.5</v>
      </c>
      <c r="E86" s="60"/>
      <c r="F86" s="55" t="s">
        <v>73</v>
      </c>
      <c r="G86" s="60"/>
      <c r="H86" s="55" t="s">
        <v>86</v>
      </c>
      <c r="I86" s="95">
        <f>(1.033+0.967+0.966)/3</f>
        <v>0.98866666666666669</v>
      </c>
      <c r="J86" s="96">
        <f>(0.471+0.452+0.397)/3</f>
        <v>0.44</v>
      </c>
      <c r="K86" s="55">
        <f t="shared" si="1"/>
        <v>0.54866666666666664</v>
      </c>
      <c r="L86" s="65">
        <v>2</v>
      </c>
      <c r="M86" s="60" t="s">
        <v>58</v>
      </c>
      <c r="N86" s="53"/>
      <c r="O86" s="72"/>
      <c r="P86" s="58" t="s">
        <v>303</v>
      </c>
      <c r="Q86" s="53" t="s">
        <v>250</v>
      </c>
      <c r="R86" s="53" t="s">
        <v>63</v>
      </c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</row>
    <row r="87" spans="1:124" s="46" customFormat="1" ht="60" customHeight="1">
      <c r="A87" s="53" t="s">
        <v>54</v>
      </c>
      <c r="B87" s="54">
        <v>123</v>
      </c>
      <c r="C87" s="53" t="s">
        <v>304</v>
      </c>
      <c r="D87" s="59">
        <v>0.5</v>
      </c>
      <c r="E87" s="60"/>
      <c r="F87" s="55" t="s">
        <v>73</v>
      </c>
      <c r="G87" s="60"/>
      <c r="H87" s="55" t="s">
        <v>161</v>
      </c>
      <c r="I87" s="96">
        <f>(198+211+179)/3</f>
        <v>196</v>
      </c>
      <c r="J87" s="96">
        <f>(198+212+179)/3</f>
        <v>196.33333333333334</v>
      </c>
      <c r="K87" s="55">
        <f t="shared" si="1"/>
        <v>-0.33333333333334281</v>
      </c>
      <c r="L87" s="65">
        <v>2</v>
      </c>
      <c r="M87" s="60" t="s">
        <v>58</v>
      </c>
      <c r="N87" s="53"/>
      <c r="O87" s="72"/>
      <c r="P87" s="58" t="s">
        <v>301</v>
      </c>
      <c r="Q87" s="53" t="s">
        <v>250</v>
      </c>
      <c r="R87" s="53" t="s">
        <v>63</v>
      </c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</row>
    <row r="88" spans="1:124" s="46" customFormat="1" ht="60" customHeight="1">
      <c r="A88" s="53" t="s">
        <v>54</v>
      </c>
      <c r="B88" s="54">
        <v>124</v>
      </c>
      <c r="C88" s="53" t="s">
        <v>305</v>
      </c>
      <c r="D88" s="59">
        <v>0.5</v>
      </c>
      <c r="E88" s="60"/>
      <c r="F88" s="55" t="s">
        <v>73</v>
      </c>
      <c r="G88" s="60"/>
      <c r="H88" s="55" t="s">
        <v>86</v>
      </c>
      <c r="I88" s="95">
        <f>(3.509+3.342+3.245)/3</f>
        <v>3.3653333333333335</v>
      </c>
      <c r="J88" s="96">
        <f>(3.877+3.208+3.241)/3</f>
        <v>3.4420000000000002</v>
      </c>
      <c r="K88" s="55">
        <f t="shared" si="1"/>
        <v>-7.6666666666666661E-2</v>
      </c>
      <c r="L88" s="65">
        <v>2</v>
      </c>
      <c r="M88" s="60" t="s">
        <v>58</v>
      </c>
      <c r="N88" s="53"/>
      <c r="O88" s="72"/>
      <c r="P88" s="58" t="s">
        <v>306</v>
      </c>
      <c r="Q88" s="53" t="s">
        <v>250</v>
      </c>
      <c r="R88" s="53" t="s">
        <v>63</v>
      </c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</row>
    <row r="89" spans="1:124" s="46" customFormat="1" ht="60" customHeight="1">
      <c r="A89" s="53" t="s">
        <v>54</v>
      </c>
      <c r="B89" s="54">
        <v>125</v>
      </c>
      <c r="C89" s="53" t="s">
        <v>307</v>
      </c>
      <c r="D89" s="59">
        <v>0.5</v>
      </c>
      <c r="E89" s="60"/>
      <c r="F89" s="55" t="s">
        <v>73</v>
      </c>
      <c r="G89" s="60"/>
      <c r="H89" s="55" t="s">
        <v>161</v>
      </c>
      <c r="I89" s="95">
        <f>(270+270+298)/3</f>
        <v>279.33333333333331</v>
      </c>
      <c r="J89" s="96">
        <f>(234+266+267)/3</f>
        <v>255.66666666666666</v>
      </c>
      <c r="K89" s="55">
        <f t="shared" si="1"/>
        <v>23.666666666666657</v>
      </c>
      <c r="L89" s="65">
        <v>2</v>
      </c>
      <c r="M89" s="60" t="s">
        <v>58</v>
      </c>
      <c r="N89" s="53"/>
      <c r="O89" s="72"/>
      <c r="P89" s="58" t="s">
        <v>308</v>
      </c>
      <c r="Q89" s="53" t="s">
        <v>250</v>
      </c>
      <c r="R89" s="53" t="s">
        <v>63</v>
      </c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</row>
    <row r="90" spans="1:124" s="46" customFormat="1" ht="60" customHeight="1">
      <c r="A90" s="53" t="s">
        <v>54</v>
      </c>
      <c r="B90" s="54">
        <v>126</v>
      </c>
      <c r="C90" s="53" t="s">
        <v>309</v>
      </c>
      <c r="D90" s="59">
        <v>0.5</v>
      </c>
      <c r="E90" s="60"/>
      <c r="F90" s="55" t="s">
        <v>73</v>
      </c>
      <c r="G90" s="60"/>
      <c r="H90" s="55" t="s">
        <v>86</v>
      </c>
      <c r="I90" s="95">
        <f>(4.11+3.97+3.99)/3</f>
        <v>4.0233333333333334</v>
      </c>
      <c r="J90" s="96">
        <f>(4.211+4.331+4.044)/3</f>
        <v>4.195333333333334</v>
      </c>
      <c r="K90" s="55">
        <f t="shared" si="1"/>
        <v>-0.1720000000000006</v>
      </c>
      <c r="L90" s="65">
        <v>2</v>
      </c>
      <c r="M90" s="60" t="s">
        <v>58</v>
      </c>
      <c r="N90" s="53"/>
      <c r="O90" s="72"/>
      <c r="P90" s="58" t="s">
        <v>310</v>
      </c>
      <c r="Q90" s="53" t="s">
        <v>250</v>
      </c>
      <c r="R90" s="53" t="s">
        <v>63</v>
      </c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</row>
    <row r="91" spans="1:124" s="46" customFormat="1" ht="60" customHeight="1">
      <c r="A91" s="53" t="s">
        <v>54</v>
      </c>
      <c r="B91" s="54">
        <v>127</v>
      </c>
      <c r="C91" s="53" t="s">
        <v>311</v>
      </c>
      <c r="D91" s="59">
        <v>0.5</v>
      </c>
      <c r="E91" s="60"/>
      <c r="F91" s="55" t="s">
        <v>73</v>
      </c>
      <c r="G91" s="60"/>
      <c r="H91" s="55" t="s">
        <v>161</v>
      </c>
      <c r="I91" s="55">
        <f>(240+223+239)/3</f>
        <v>234</v>
      </c>
      <c r="J91" s="96">
        <f>(235+267+211)/3</f>
        <v>237.66666666666666</v>
      </c>
      <c r="K91" s="55">
        <f t="shared" si="1"/>
        <v>-3.6666666666666572</v>
      </c>
      <c r="L91" s="65">
        <v>2</v>
      </c>
      <c r="M91" s="60" t="s">
        <v>58</v>
      </c>
      <c r="N91" s="53"/>
      <c r="O91" s="72"/>
      <c r="P91" s="58" t="s">
        <v>312</v>
      </c>
      <c r="Q91" s="53" t="s">
        <v>250</v>
      </c>
      <c r="R91" s="53" t="s">
        <v>63</v>
      </c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</row>
    <row r="92" spans="1:124" s="46" customFormat="1" ht="60" customHeight="1">
      <c r="A92" s="53" t="s">
        <v>54</v>
      </c>
      <c r="B92" s="54">
        <v>128</v>
      </c>
      <c r="C92" s="53" t="s">
        <v>313</v>
      </c>
      <c r="D92" s="59">
        <v>0.5</v>
      </c>
      <c r="E92" s="60"/>
      <c r="F92" s="55" t="s">
        <v>73</v>
      </c>
      <c r="G92" s="60"/>
      <c r="H92" s="55" t="s">
        <v>86</v>
      </c>
      <c r="I92" s="95">
        <f>(4.334+4.443+4.53)/3</f>
        <v>4.4356666666666662</v>
      </c>
      <c r="J92" s="96">
        <f>(4.578+4.98+4.679)/3</f>
        <v>4.7456666666666667</v>
      </c>
      <c r="K92" s="55">
        <f t="shared" si="1"/>
        <v>-0.3100000000000005</v>
      </c>
      <c r="L92" s="65">
        <v>2</v>
      </c>
      <c r="M92" s="60" t="s">
        <v>58</v>
      </c>
      <c r="N92" s="53"/>
      <c r="O92" s="72"/>
      <c r="P92" s="58" t="s">
        <v>314</v>
      </c>
      <c r="Q92" s="53" t="s">
        <v>250</v>
      </c>
      <c r="R92" s="53" t="s">
        <v>63</v>
      </c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</row>
    <row r="93" spans="1:124" s="46" customFormat="1" ht="60" customHeight="1">
      <c r="A93" s="53" t="s">
        <v>54</v>
      </c>
      <c r="B93" s="54">
        <v>129</v>
      </c>
      <c r="C93" s="53" t="s">
        <v>315</v>
      </c>
      <c r="D93" s="59">
        <v>0.5</v>
      </c>
      <c r="E93" s="60"/>
      <c r="F93" s="55" t="s">
        <v>73</v>
      </c>
      <c r="G93" s="60"/>
      <c r="H93" s="55" t="s">
        <v>161</v>
      </c>
      <c r="I93" s="96">
        <f>(267+401+335)/3</f>
        <v>334.33333333333331</v>
      </c>
      <c r="J93" s="96">
        <f>(267+401+339)/3</f>
        <v>335.66666666666669</v>
      </c>
      <c r="K93" s="55">
        <f t="shared" si="1"/>
        <v>-1.3333333333333712</v>
      </c>
      <c r="L93" s="65">
        <v>2</v>
      </c>
      <c r="M93" s="60" t="s">
        <v>58</v>
      </c>
      <c r="N93" s="53"/>
      <c r="O93" s="72"/>
      <c r="P93" s="58" t="s">
        <v>316</v>
      </c>
      <c r="Q93" s="53" t="s">
        <v>250</v>
      </c>
      <c r="R93" s="53" t="s">
        <v>63</v>
      </c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</row>
    <row r="94" spans="1:124" s="46" customFormat="1" ht="60" customHeight="1">
      <c r="A94" s="53" t="s">
        <v>54</v>
      </c>
      <c r="B94" s="54">
        <v>130</v>
      </c>
      <c r="C94" s="53" t="s">
        <v>317</v>
      </c>
      <c r="D94" s="59">
        <v>0.5</v>
      </c>
      <c r="E94" s="60"/>
      <c r="F94" s="55" t="s">
        <v>73</v>
      </c>
      <c r="G94" s="60"/>
      <c r="H94" s="55" t="s">
        <v>86</v>
      </c>
      <c r="I94" s="95">
        <f>(2.1+1.867+2.266)/3</f>
        <v>2.077666666666667</v>
      </c>
      <c r="J94" s="78">
        <f>(2.306+3.041+2.306)/3</f>
        <v>2.5509999999999997</v>
      </c>
      <c r="K94" s="55">
        <f t="shared" si="1"/>
        <v>-0.47333333333333272</v>
      </c>
      <c r="L94" s="65">
        <v>2</v>
      </c>
      <c r="M94" s="60" t="s">
        <v>58</v>
      </c>
      <c r="N94" s="53"/>
      <c r="O94" s="72"/>
      <c r="P94" s="58" t="s">
        <v>318</v>
      </c>
      <c r="Q94" s="53" t="s">
        <v>250</v>
      </c>
      <c r="R94" s="53" t="s">
        <v>63</v>
      </c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</row>
    <row r="95" spans="1:124" s="46" customFormat="1" ht="60" customHeight="1">
      <c r="A95" s="53" t="s">
        <v>54</v>
      </c>
      <c r="B95" s="54">
        <v>131</v>
      </c>
      <c r="C95" s="53" t="s">
        <v>319</v>
      </c>
      <c r="D95" s="59">
        <v>0.5</v>
      </c>
      <c r="E95" s="60"/>
      <c r="F95" s="55" t="s">
        <v>73</v>
      </c>
      <c r="G95" s="60"/>
      <c r="H95" s="55" t="s">
        <v>161</v>
      </c>
      <c r="I95" s="95">
        <f>(167+200+267)/3</f>
        <v>211.33333333333334</v>
      </c>
      <c r="J95" s="96">
        <f>(867+902+903)/3</f>
        <v>890.66666666666663</v>
      </c>
      <c r="K95" s="55">
        <f t="shared" si="1"/>
        <v>-679.33333333333326</v>
      </c>
      <c r="L95" s="65">
        <v>2</v>
      </c>
      <c r="M95" s="60" t="s">
        <v>58</v>
      </c>
      <c r="N95" s="53"/>
      <c r="O95" s="72"/>
      <c r="P95" s="58" t="s">
        <v>320</v>
      </c>
      <c r="Q95" s="53" t="s">
        <v>250</v>
      </c>
      <c r="R95" s="53" t="s">
        <v>63</v>
      </c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</row>
    <row r="96" spans="1:124" s="45" customFormat="1" ht="60" hidden="1" customHeight="1">
      <c r="A96" s="53" t="s">
        <v>172</v>
      </c>
      <c r="B96" s="54">
        <v>132</v>
      </c>
      <c r="C96" s="53" t="s">
        <v>321</v>
      </c>
      <c r="D96" s="59">
        <v>0.5</v>
      </c>
      <c r="E96" s="60"/>
      <c r="F96" s="55" t="s">
        <v>73</v>
      </c>
      <c r="G96" s="60"/>
      <c r="H96" s="60"/>
      <c r="I96" s="60">
        <v>0</v>
      </c>
      <c r="J96" s="80">
        <v>0</v>
      </c>
      <c r="K96" s="55">
        <f t="shared" si="1"/>
        <v>0</v>
      </c>
      <c r="L96" s="65">
        <v>3</v>
      </c>
      <c r="M96" s="60" t="s">
        <v>58</v>
      </c>
      <c r="N96" s="53"/>
      <c r="O96" s="72"/>
      <c r="P96" s="58"/>
      <c r="Q96" s="53"/>
      <c r="R96" s="53" t="s">
        <v>63</v>
      </c>
    </row>
    <row r="97" spans="1:18" s="45" customFormat="1" ht="60" hidden="1" customHeight="1">
      <c r="A97" s="53" t="s">
        <v>172</v>
      </c>
      <c r="B97" s="54">
        <v>133</v>
      </c>
      <c r="C97" s="53" t="s">
        <v>322</v>
      </c>
      <c r="D97" s="59">
        <v>0.5</v>
      </c>
      <c r="E97" s="60"/>
      <c r="F97" s="55" t="s">
        <v>73</v>
      </c>
      <c r="G97" s="60"/>
      <c r="H97" s="60"/>
      <c r="I97" s="60">
        <v>0</v>
      </c>
      <c r="J97" s="80">
        <v>0</v>
      </c>
      <c r="K97" s="55">
        <f t="shared" si="1"/>
        <v>0</v>
      </c>
      <c r="L97" s="65">
        <v>3</v>
      </c>
      <c r="M97" s="60" t="s">
        <v>58</v>
      </c>
      <c r="N97" s="53"/>
      <c r="O97" s="72"/>
      <c r="P97" s="53"/>
      <c r="Q97" s="53"/>
      <c r="R97" s="53" t="s">
        <v>63</v>
      </c>
    </row>
    <row r="98" spans="1:18" s="45" customFormat="1" ht="60" hidden="1" customHeight="1">
      <c r="A98" s="53" t="s">
        <v>172</v>
      </c>
      <c r="B98" s="54">
        <v>134</v>
      </c>
      <c r="C98" s="53" t="s">
        <v>323</v>
      </c>
      <c r="D98" s="59">
        <v>0.5</v>
      </c>
      <c r="E98" s="60"/>
      <c r="F98" s="55" t="s">
        <v>73</v>
      </c>
      <c r="G98" s="60"/>
      <c r="H98" s="60"/>
      <c r="I98" s="60">
        <v>0</v>
      </c>
      <c r="J98" s="80">
        <v>0</v>
      </c>
      <c r="K98" s="55">
        <f t="shared" si="1"/>
        <v>0</v>
      </c>
      <c r="L98" s="65">
        <v>3</v>
      </c>
      <c r="M98" s="60" t="s">
        <v>58</v>
      </c>
      <c r="N98" s="53"/>
      <c r="O98" s="72"/>
      <c r="P98" s="58"/>
      <c r="Q98" s="53"/>
      <c r="R98" s="53" t="s">
        <v>63</v>
      </c>
    </row>
    <row r="99" spans="1:18" s="45" customFormat="1" ht="60" hidden="1" customHeight="1">
      <c r="A99" s="53" t="s">
        <v>172</v>
      </c>
      <c r="B99" s="54">
        <v>135</v>
      </c>
      <c r="C99" s="53" t="s">
        <v>324</v>
      </c>
      <c r="D99" s="59">
        <v>0.5</v>
      </c>
      <c r="E99" s="60"/>
      <c r="F99" s="55" t="s">
        <v>73</v>
      </c>
      <c r="G99" s="60"/>
      <c r="H99" s="60"/>
      <c r="I99" s="60">
        <v>1</v>
      </c>
      <c r="J99" s="80">
        <v>0</v>
      </c>
      <c r="K99" s="55">
        <f t="shared" si="1"/>
        <v>1</v>
      </c>
      <c r="L99" s="65">
        <v>3</v>
      </c>
      <c r="M99" s="60" t="s">
        <v>58</v>
      </c>
      <c r="N99" s="53"/>
      <c r="O99" s="72"/>
      <c r="P99" s="58"/>
      <c r="Q99" s="53"/>
      <c r="R99" s="53" t="s">
        <v>63</v>
      </c>
    </row>
    <row r="100" spans="1:18" s="45" customFormat="1" ht="60" hidden="1" customHeight="1">
      <c r="A100" s="53" t="s">
        <v>172</v>
      </c>
      <c r="B100" s="54">
        <v>136</v>
      </c>
      <c r="C100" s="53" t="s">
        <v>325</v>
      </c>
      <c r="D100" s="59">
        <v>0.5</v>
      </c>
      <c r="E100" s="60"/>
      <c r="F100" s="55" t="s">
        <v>73</v>
      </c>
      <c r="G100" s="60"/>
      <c r="H100" s="60"/>
      <c r="I100" s="60">
        <v>0</v>
      </c>
      <c r="J100" s="80">
        <v>0</v>
      </c>
      <c r="K100" s="55">
        <f t="shared" si="1"/>
        <v>0</v>
      </c>
      <c r="L100" s="65">
        <v>3</v>
      </c>
      <c r="M100" s="60" t="s">
        <v>58</v>
      </c>
      <c r="N100" s="53"/>
      <c r="O100" s="72"/>
      <c r="P100" s="58"/>
      <c r="Q100" s="53"/>
      <c r="R100" s="53" t="s">
        <v>63</v>
      </c>
    </row>
    <row r="102" spans="1:18" ht="60" customHeight="1">
      <c r="A102" s="123" t="s">
        <v>0</v>
      </c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5"/>
    </row>
    <row r="103" spans="1:18" ht="60" customHeight="1">
      <c r="A103" s="53" t="s">
        <v>326</v>
      </c>
      <c r="B103" s="126" t="s">
        <v>327</v>
      </c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8"/>
    </row>
    <row r="104" spans="1:18" ht="60" customHeight="1">
      <c r="A104" s="53" t="s">
        <v>328</v>
      </c>
      <c r="B104" s="126" t="s">
        <v>329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8"/>
    </row>
    <row r="105" spans="1:18" ht="60" customHeight="1">
      <c r="A105" s="53" t="s">
        <v>330</v>
      </c>
      <c r="B105" s="126" t="s">
        <v>331</v>
      </c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8"/>
    </row>
    <row r="106" spans="1:18" ht="60" customHeight="1">
      <c r="A106" s="53" t="s">
        <v>332</v>
      </c>
      <c r="B106" s="126" t="s">
        <v>333</v>
      </c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8"/>
    </row>
    <row r="107" spans="1:18" ht="60" customHeight="1">
      <c r="A107" s="53" t="s">
        <v>334</v>
      </c>
      <c r="B107" s="126" t="s">
        <v>335</v>
      </c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8"/>
    </row>
    <row r="108" spans="1:18" ht="60" customHeight="1">
      <c r="A108" s="53" t="s">
        <v>336</v>
      </c>
      <c r="B108" s="126" t="s">
        <v>337</v>
      </c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8"/>
    </row>
    <row r="109" spans="1:18" ht="60" customHeight="1">
      <c r="A109" s="53" t="s">
        <v>338</v>
      </c>
      <c r="B109" s="126" t="s">
        <v>339</v>
      </c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8"/>
    </row>
    <row r="110" spans="1:18" ht="60" customHeight="1">
      <c r="A110" s="53" t="s">
        <v>340</v>
      </c>
      <c r="B110" s="126" t="s">
        <v>341</v>
      </c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8"/>
    </row>
    <row r="111" spans="1:18" ht="60" customHeight="1">
      <c r="A111" s="53" t="s">
        <v>342</v>
      </c>
      <c r="B111" s="126" t="s">
        <v>343</v>
      </c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8"/>
    </row>
    <row r="112" spans="1:18" ht="60" customHeight="1">
      <c r="A112" s="123" t="s">
        <v>21</v>
      </c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5"/>
    </row>
    <row r="113" spans="1:15" ht="60" customHeight="1">
      <c r="A113" s="53" t="s">
        <v>326</v>
      </c>
      <c r="B113" s="129" t="s">
        <v>344</v>
      </c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1"/>
    </row>
    <row r="114" spans="1:15" ht="60" customHeight="1">
      <c r="A114" s="53" t="s">
        <v>328</v>
      </c>
      <c r="B114" s="129" t="s">
        <v>345</v>
      </c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1"/>
    </row>
    <row r="115" spans="1:15" ht="60" customHeight="1">
      <c r="A115" s="53" t="s">
        <v>330</v>
      </c>
      <c r="B115" s="129" t="s">
        <v>346</v>
      </c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1"/>
    </row>
    <row r="116" spans="1:15" ht="60" customHeight="1">
      <c r="A116" s="53" t="s">
        <v>347</v>
      </c>
      <c r="B116" s="129" t="s">
        <v>348</v>
      </c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1"/>
    </row>
    <row r="117" spans="1:15" ht="60" customHeight="1">
      <c r="A117" s="53" t="s">
        <v>332</v>
      </c>
      <c r="B117" s="129" t="s">
        <v>349</v>
      </c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1"/>
    </row>
    <row r="118" spans="1:15" ht="60" customHeight="1">
      <c r="A118" s="53" t="s">
        <v>336</v>
      </c>
      <c r="B118" s="129" t="s">
        <v>350</v>
      </c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1"/>
    </row>
    <row r="119" spans="1:15" ht="60" customHeight="1">
      <c r="A119" s="53" t="s">
        <v>338</v>
      </c>
      <c r="B119" s="129" t="s">
        <v>339</v>
      </c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1"/>
    </row>
    <row r="120" spans="1:15" ht="60" customHeight="1">
      <c r="A120" s="53" t="s">
        <v>340</v>
      </c>
      <c r="B120" s="129" t="s">
        <v>341</v>
      </c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1"/>
    </row>
    <row r="121" spans="1:15" ht="60" customHeight="1">
      <c r="A121" s="53" t="s">
        <v>342</v>
      </c>
      <c r="B121" s="129" t="s">
        <v>343</v>
      </c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1"/>
    </row>
    <row r="122" spans="1:15" ht="60" customHeight="1">
      <c r="A122" s="123" t="s">
        <v>29</v>
      </c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5"/>
    </row>
    <row r="123" spans="1:15" ht="60" customHeight="1">
      <c r="A123" s="53" t="s">
        <v>326</v>
      </c>
      <c r="B123" s="126" t="s">
        <v>327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8"/>
    </row>
    <row r="124" spans="1:15" ht="60" customHeight="1">
      <c r="A124" s="53" t="s">
        <v>328</v>
      </c>
      <c r="B124" s="126" t="s">
        <v>351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8"/>
    </row>
    <row r="125" spans="1:15" ht="60" customHeight="1">
      <c r="A125" s="53" t="s">
        <v>330</v>
      </c>
      <c r="B125" s="126" t="s">
        <v>331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8"/>
    </row>
    <row r="126" spans="1:15" ht="60" customHeight="1">
      <c r="A126" s="53" t="s">
        <v>332</v>
      </c>
      <c r="B126" s="126" t="s">
        <v>352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8"/>
    </row>
    <row r="127" spans="1:15" ht="60" customHeight="1">
      <c r="A127" s="53" t="s">
        <v>336</v>
      </c>
      <c r="B127" s="126" t="s">
        <v>337</v>
      </c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8"/>
    </row>
    <row r="128" spans="1:15" ht="60" customHeight="1">
      <c r="A128" s="53" t="s">
        <v>338</v>
      </c>
      <c r="B128" s="126" t="s">
        <v>339</v>
      </c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8"/>
    </row>
    <row r="129" spans="1:15" ht="60" customHeight="1">
      <c r="A129" s="53" t="s">
        <v>340</v>
      </c>
      <c r="B129" s="126" t="s">
        <v>341</v>
      </c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8"/>
    </row>
    <row r="130" spans="1:15" ht="60" customHeight="1">
      <c r="A130" s="53" t="s">
        <v>342</v>
      </c>
      <c r="B130" s="126" t="s">
        <v>343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8"/>
    </row>
  </sheetData>
  <autoFilter ref="A1:R100" xr:uid="{00000000-0009-0000-0000-000001000000}"/>
  <sortState xmlns:xlrd2="http://schemas.microsoft.com/office/spreadsheetml/2017/richdata2" ref="A2:Q85">
    <sortCondition ref="B2:B85"/>
  </sortState>
  <mergeCells count="29">
    <mergeCell ref="B127:O127"/>
    <mergeCell ref="B128:O128"/>
    <mergeCell ref="B129:O129"/>
    <mergeCell ref="B130:O130"/>
    <mergeCell ref="A122:O122"/>
    <mergeCell ref="B123:O123"/>
    <mergeCell ref="B124:O124"/>
    <mergeCell ref="B125:O125"/>
    <mergeCell ref="B126:O126"/>
    <mergeCell ref="B117:O117"/>
    <mergeCell ref="B118:O118"/>
    <mergeCell ref="B119:O119"/>
    <mergeCell ref="B120:O120"/>
    <mergeCell ref="B121:O121"/>
    <mergeCell ref="A112:O112"/>
    <mergeCell ref="B113:O113"/>
    <mergeCell ref="B114:O114"/>
    <mergeCell ref="B115:O115"/>
    <mergeCell ref="B116:O116"/>
    <mergeCell ref="B107:O107"/>
    <mergeCell ref="B108:O108"/>
    <mergeCell ref="B109:O109"/>
    <mergeCell ref="B110:O110"/>
    <mergeCell ref="B111:O111"/>
    <mergeCell ref="A102:O102"/>
    <mergeCell ref="B103:O103"/>
    <mergeCell ref="B104:O104"/>
    <mergeCell ref="B105:O105"/>
    <mergeCell ref="B106:O106"/>
  </mergeCells>
  <phoneticPr fontId="36" type="noConversion"/>
  <conditionalFormatting sqref="R59">
    <cfRule type="containsText" dxfId="3" priority="2" operator="containsText" text="Desay">
      <formula>NOT(ISERROR(SEARCH("Desay",R59)))</formula>
    </cfRule>
  </conditionalFormatting>
  <conditionalFormatting sqref="R102:R130">
    <cfRule type="containsText" dxfId="2" priority="1" operator="containsText" text="Desay">
      <formula>NOT(ISERROR(SEARCH("Desay",R102)))</formula>
    </cfRule>
  </conditionalFormatting>
  <conditionalFormatting sqref="R1 R45:R58 R30:R32 R131:R1048576 R60:R101">
    <cfRule type="containsText" dxfId="1" priority="12" operator="containsText" text="Desay">
      <formula>NOT(ISERROR(SEARCH("Desay",R1)))</formula>
    </cfRule>
  </conditionalFormatting>
  <conditionalFormatting sqref="R5:R14 R29 R26 R33:R35">
    <cfRule type="containsText" dxfId="0" priority="4" operator="containsText" text="Desay">
      <formula>NOT(ISERROR(SEARCH("Desay",R5)))</formula>
    </cfRule>
  </conditionalFormatting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72"/>
  <sheetViews>
    <sheetView topLeftCell="A29" zoomScale="120" zoomScaleNormal="120" workbookViewId="0">
      <selection activeCell="G38" sqref="G38"/>
    </sheetView>
  </sheetViews>
  <sheetFormatPr baseColWidth="10" defaultColWidth="8.6640625" defaultRowHeight="15"/>
  <cols>
    <col min="1" max="1" width="17.83203125" style="20" customWidth="1"/>
    <col min="2" max="2" width="8.1640625" style="20" customWidth="1"/>
    <col min="3" max="3" width="73.5" style="20" customWidth="1"/>
    <col min="4" max="4" width="13.5" style="21" customWidth="1"/>
    <col min="5" max="5" width="14.6640625" style="21" customWidth="1"/>
    <col min="6" max="6" width="19.83203125" style="21" customWidth="1"/>
    <col min="7" max="7" width="25.5" style="22" customWidth="1"/>
    <col min="8" max="8" width="18" style="19" customWidth="1"/>
    <col min="9" max="9" width="30.33203125" style="19" customWidth="1"/>
    <col min="10" max="10" width="35.1640625" style="19" customWidth="1"/>
    <col min="11" max="11" width="14.6640625" style="19" customWidth="1"/>
    <col min="12" max="16384" width="8.6640625" style="20"/>
  </cols>
  <sheetData>
    <row r="1" spans="1:11" ht="38">
      <c r="A1" s="23" t="s">
        <v>353</v>
      </c>
      <c r="B1" s="23" t="s">
        <v>354</v>
      </c>
      <c r="C1" s="23" t="s">
        <v>355</v>
      </c>
      <c r="D1" s="24" t="s">
        <v>356</v>
      </c>
      <c r="E1" s="24" t="s">
        <v>357</v>
      </c>
      <c r="F1" s="82" t="s">
        <v>358</v>
      </c>
      <c r="G1" s="82" t="s">
        <v>359</v>
      </c>
      <c r="H1" s="24" t="s">
        <v>360</v>
      </c>
      <c r="I1" s="24" t="s">
        <v>361</v>
      </c>
      <c r="J1" s="24" t="s">
        <v>362</v>
      </c>
      <c r="K1" s="24" t="s">
        <v>53</v>
      </c>
    </row>
    <row r="2" spans="1:11" ht="32">
      <c r="A2" s="134" t="s">
        <v>363</v>
      </c>
      <c r="B2" s="135" t="s">
        <v>364</v>
      </c>
      <c r="C2" s="25" t="s">
        <v>365</v>
      </c>
      <c r="D2" s="26" t="s">
        <v>366</v>
      </c>
      <c r="E2" s="26"/>
      <c r="F2" s="94">
        <v>180</v>
      </c>
      <c r="G2" s="94">
        <v>190</v>
      </c>
      <c r="H2" s="36"/>
      <c r="I2" s="37"/>
      <c r="J2" s="36"/>
      <c r="K2" s="36" t="s">
        <v>63</v>
      </c>
    </row>
    <row r="3" spans="1:11" ht="16">
      <c r="A3" s="134"/>
      <c r="B3" s="136"/>
      <c r="C3" s="25" t="s">
        <v>367</v>
      </c>
      <c r="D3" s="26"/>
      <c r="E3" s="26"/>
      <c r="F3" s="99">
        <f>(120+150+130)/3</f>
        <v>133.33333333333334</v>
      </c>
      <c r="G3" s="99">
        <f>(120+155+130)/3</f>
        <v>135</v>
      </c>
      <c r="H3" s="36"/>
      <c r="I3" s="37"/>
      <c r="J3" s="36"/>
      <c r="K3" s="36" t="s">
        <v>63</v>
      </c>
    </row>
    <row r="4" spans="1:11" ht="16">
      <c r="A4" s="134"/>
      <c r="B4" s="136"/>
      <c r="C4" s="25" t="s">
        <v>368</v>
      </c>
      <c r="D4" s="26"/>
      <c r="E4" s="26"/>
      <c r="F4" s="99">
        <f>(130+120+130)/3</f>
        <v>126.66666666666667</v>
      </c>
      <c r="G4" s="99">
        <f>(130+125+130)/3</f>
        <v>128.33333333333334</v>
      </c>
      <c r="H4" s="36"/>
      <c r="I4" s="37"/>
      <c r="J4" s="36"/>
      <c r="K4" s="36" t="s">
        <v>63</v>
      </c>
    </row>
    <row r="5" spans="1:11" ht="16">
      <c r="A5" s="134"/>
      <c r="B5" s="136"/>
      <c r="C5" s="25" t="s">
        <v>369</v>
      </c>
      <c r="D5" s="26"/>
      <c r="E5" s="26"/>
      <c r="F5" s="99">
        <v>220</v>
      </c>
      <c r="G5" s="99">
        <v>221</v>
      </c>
      <c r="H5" s="36"/>
      <c r="I5" s="37"/>
      <c r="J5" s="36"/>
      <c r="K5" s="36" t="s">
        <v>63</v>
      </c>
    </row>
    <row r="6" spans="1:11" ht="16">
      <c r="A6" s="134"/>
      <c r="B6" s="136"/>
      <c r="C6" s="25" t="s">
        <v>370</v>
      </c>
      <c r="D6" s="26"/>
      <c r="E6" s="26"/>
      <c r="F6" s="99">
        <v>6.7</v>
      </c>
      <c r="G6" s="99">
        <v>6.73</v>
      </c>
      <c r="H6" s="36"/>
      <c r="I6" s="37"/>
      <c r="J6" s="36"/>
      <c r="K6" s="36" t="s">
        <v>63</v>
      </c>
    </row>
    <row r="7" spans="1:11" ht="16">
      <c r="A7" s="134"/>
      <c r="B7" s="136"/>
      <c r="C7" s="25" t="s">
        <v>371</v>
      </c>
      <c r="D7" s="26"/>
      <c r="E7" s="26"/>
      <c r="F7" s="99">
        <f>(1.036+1.403+1.771)/3</f>
        <v>1.4033333333333333</v>
      </c>
      <c r="G7" s="99">
        <f>(1.036+1.404+1.771)/3</f>
        <v>1.4036666666666668</v>
      </c>
      <c r="H7" s="36"/>
      <c r="I7" s="37"/>
      <c r="J7" s="36"/>
      <c r="K7" s="36" t="s">
        <v>63</v>
      </c>
    </row>
    <row r="8" spans="1:11" ht="16">
      <c r="A8" s="134"/>
      <c r="B8" s="136"/>
      <c r="C8" s="25" t="s">
        <v>372</v>
      </c>
      <c r="D8" s="26"/>
      <c r="E8" s="26"/>
      <c r="F8" s="99">
        <f>(1.504+1.069+1.47)/3</f>
        <v>1.3476666666666668</v>
      </c>
      <c r="G8" s="99">
        <f>(1.506+1.069+1.47)/3</f>
        <v>1.3483333333333334</v>
      </c>
      <c r="H8" s="36"/>
      <c r="I8" s="37"/>
      <c r="J8" s="36"/>
      <c r="K8" s="36" t="s">
        <v>63</v>
      </c>
    </row>
    <row r="9" spans="1:11" ht="17">
      <c r="A9" s="134"/>
      <c r="B9" s="136"/>
      <c r="C9" s="27" t="s">
        <v>373</v>
      </c>
      <c r="D9" s="26"/>
      <c r="E9" s="26"/>
      <c r="F9" s="99">
        <f>(3.309+1.704+2.039)/3</f>
        <v>2.3506666666666667</v>
      </c>
      <c r="G9" s="99">
        <f>(3.309+1.707+2.039)/3</f>
        <v>2.3516666666666666</v>
      </c>
      <c r="H9" s="36"/>
      <c r="I9" s="37"/>
      <c r="J9" s="36"/>
      <c r="K9" s="36" t="s">
        <v>63</v>
      </c>
    </row>
    <row r="10" spans="1:11" ht="17">
      <c r="A10" s="134"/>
      <c r="B10" s="136"/>
      <c r="C10" s="27" t="s">
        <v>374</v>
      </c>
      <c r="D10" s="26"/>
      <c r="E10" s="26"/>
      <c r="F10" s="99">
        <f>(1.439+1.221+1.271)/3</f>
        <v>1.3103333333333333</v>
      </c>
      <c r="G10" s="99">
        <f>(1.439+1.225+1.271)/3</f>
        <v>1.3116666666666668</v>
      </c>
      <c r="H10" s="36"/>
      <c r="I10" s="37"/>
      <c r="J10" s="36"/>
      <c r="K10" s="36" t="s">
        <v>63</v>
      </c>
    </row>
    <row r="11" spans="1:11" ht="17">
      <c r="A11" s="134"/>
      <c r="B11" s="136"/>
      <c r="C11" s="27" t="s">
        <v>375</v>
      </c>
      <c r="D11" s="26"/>
      <c r="E11" s="26"/>
      <c r="F11" s="99">
        <f>(2.941+2.774+2.407)/3</f>
        <v>2.7073333333333331</v>
      </c>
      <c r="G11" s="99">
        <f>(2.944+2.774+2.407)/3</f>
        <v>2.7083333333333335</v>
      </c>
      <c r="H11" s="36"/>
      <c r="I11" s="37"/>
      <c r="J11" s="36"/>
      <c r="K11" s="36" t="s">
        <v>63</v>
      </c>
    </row>
    <row r="12" spans="1:11" ht="17">
      <c r="A12" s="134"/>
      <c r="B12" s="136"/>
      <c r="C12" s="27" t="s">
        <v>376</v>
      </c>
      <c r="D12" s="26"/>
      <c r="E12" s="26"/>
      <c r="F12" s="99">
        <f>(1.804+3.743+2.975)/3</f>
        <v>2.8406666666666669</v>
      </c>
      <c r="G12" s="99">
        <f>(1.809+3.743+2.975)/3</f>
        <v>2.8423333333333329</v>
      </c>
      <c r="H12" s="36"/>
      <c r="I12" s="37"/>
      <c r="J12" s="36"/>
      <c r="K12" s="36" t="s">
        <v>63</v>
      </c>
    </row>
    <row r="13" spans="1:11" ht="16">
      <c r="A13" s="134"/>
      <c r="B13" s="136"/>
      <c r="C13" s="25" t="s">
        <v>377</v>
      </c>
      <c r="D13" s="26"/>
      <c r="E13" s="26"/>
      <c r="F13" s="99">
        <f>(1.904+1.003+1.404)/3</f>
        <v>1.4370000000000001</v>
      </c>
      <c r="G13" s="99">
        <v>1.443666667</v>
      </c>
      <c r="H13" s="36"/>
      <c r="I13" s="37"/>
      <c r="J13" s="36"/>
      <c r="K13" s="36" t="s">
        <v>63</v>
      </c>
    </row>
    <row r="14" spans="1:11" ht="16">
      <c r="A14" s="134"/>
      <c r="B14" s="136"/>
      <c r="C14" s="25" t="s">
        <v>378</v>
      </c>
      <c r="D14" s="26"/>
      <c r="E14" s="26"/>
      <c r="F14" s="99">
        <f>(2.34+1.972+1.637)/3</f>
        <v>1.9829999999999999</v>
      </c>
      <c r="G14" s="99">
        <f>(2.38+1.972+1.637)/3</f>
        <v>1.9963333333333335</v>
      </c>
      <c r="H14" s="36"/>
      <c r="I14" s="37"/>
      <c r="J14" s="36"/>
      <c r="K14" s="36" t="s">
        <v>63</v>
      </c>
    </row>
    <row r="15" spans="1:11" ht="16">
      <c r="A15" s="134"/>
      <c r="B15" s="136"/>
      <c r="C15" s="25" t="s">
        <v>379</v>
      </c>
      <c r="D15" s="26"/>
      <c r="E15" s="26"/>
      <c r="F15" s="99">
        <f>(2.406+2.44+2.039)/3</f>
        <v>2.2949999999999999</v>
      </c>
      <c r="G15" s="99">
        <f>(2.409+2.44+2.039)/3</f>
        <v>2.2959999999999998</v>
      </c>
      <c r="H15" s="36"/>
      <c r="I15" s="37"/>
      <c r="J15" s="36"/>
      <c r="K15" s="36" t="s">
        <v>63</v>
      </c>
    </row>
    <row r="16" spans="1:11" ht="16">
      <c r="A16" s="134"/>
      <c r="B16" s="136"/>
      <c r="C16" s="25" t="s">
        <v>380</v>
      </c>
      <c r="D16" s="26"/>
      <c r="E16" s="26"/>
      <c r="F16" s="99">
        <f>(2.607+2.439+2.473)/3</f>
        <v>2.5063333333333335</v>
      </c>
      <c r="G16" s="99">
        <f>(2.909+1.905+1.838)/3</f>
        <v>2.2173333333333334</v>
      </c>
      <c r="H16" s="36"/>
      <c r="I16" s="37"/>
      <c r="J16" s="36"/>
      <c r="K16" s="36" t="s">
        <v>63</v>
      </c>
    </row>
    <row r="17" spans="1:11" ht="16">
      <c r="A17" s="134"/>
      <c r="B17" s="136"/>
      <c r="C17" s="25" t="s">
        <v>381</v>
      </c>
      <c r="D17" s="26"/>
      <c r="E17" s="26"/>
      <c r="F17" s="100">
        <f>(4.043+3.376+4.145)/3</f>
        <v>3.8546666666666667</v>
      </c>
      <c r="G17" s="100">
        <f>(4.048+3.376+4.145)/3</f>
        <v>3.8563333333333332</v>
      </c>
      <c r="H17" s="36"/>
      <c r="I17" s="37"/>
      <c r="J17" s="36"/>
      <c r="K17" s="36" t="s">
        <v>63</v>
      </c>
    </row>
    <row r="18" spans="1:11" ht="16">
      <c r="A18" s="134"/>
      <c r="B18" s="136"/>
      <c r="C18" s="25" t="s">
        <v>382</v>
      </c>
      <c r="D18" s="26"/>
      <c r="E18" s="26"/>
      <c r="F18" s="100">
        <f>(1.821+1.143+1.502)/3</f>
        <v>1.4886666666666668</v>
      </c>
      <c r="G18" s="100">
        <f>(1.821+1.143+1.502)/3</f>
        <v>1.4886666666666668</v>
      </c>
      <c r="H18" s="36"/>
      <c r="I18" s="37"/>
      <c r="J18" s="36"/>
      <c r="K18" s="36" t="s">
        <v>63</v>
      </c>
    </row>
    <row r="19" spans="1:11" ht="16">
      <c r="A19" s="134"/>
      <c r="B19" s="136"/>
      <c r="C19" s="25" t="s">
        <v>383</v>
      </c>
      <c r="D19" s="26"/>
      <c r="E19" s="26"/>
      <c r="F19" s="100">
        <f>(1.6+1.58+1.43)/3</f>
        <v>1.5366666666666668</v>
      </c>
      <c r="G19" s="100">
        <f>(1.6+1.58+1.43)/3</f>
        <v>1.5366666666666668</v>
      </c>
      <c r="H19" s="36"/>
      <c r="I19" s="37"/>
      <c r="J19" s="36"/>
      <c r="K19" s="36" t="s">
        <v>63</v>
      </c>
    </row>
    <row r="20" spans="1:11" ht="16">
      <c r="A20" s="134"/>
      <c r="B20" s="136"/>
      <c r="C20" s="25" t="s">
        <v>384</v>
      </c>
      <c r="D20" s="26"/>
      <c r="E20" s="26"/>
      <c r="F20" s="100">
        <f>(1.92+1.82+1.91)/3</f>
        <v>1.8833333333333335</v>
      </c>
      <c r="G20" s="100">
        <f>(1.92+1.82+1.91)/3</f>
        <v>1.8833333333333335</v>
      </c>
      <c r="H20" s="36"/>
      <c r="I20" s="37"/>
      <c r="J20" s="36"/>
      <c r="K20" s="36" t="s">
        <v>63</v>
      </c>
    </row>
    <row r="21" spans="1:11" ht="16">
      <c r="A21" s="134"/>
      <c r="B21" s="136"/>
      <c r="C21" s="25" t="s">
        <v>385</v>
      </c>
      <c r="D21" s="26"/>
      <c r="E21" s="26"/>
      <c r="F21" s="100">
        <f>(2.15+2.21+2.19)/3</f>
        <v>2.1833333333333331</v>
      </c>
      <c r="G21" s="100">
        <f>(2.15+2.21+2.19)/3</f>
        <v>2.1833333333333331</v>
      </c>
      <c r="H21" s="36"/>
      <c r="I21" s="37"/>
      <c r="J21" s="36"/>
      <c r="K21" s="36" t="s">
        <v>63</v>
      </c>
    </row>
    <row r="22" spans="1:11" ht="16">
      <c r="A22" s="134"/>
      <c r="B22" s="136"/>
      <c r="C22" s="25" t="s">
        <v>386</v>
      </c>
      <c r="D22" s="26"/>
      <c r="E22" s="26"/>
      <c r="F22" s="100">
        <f>(3.18+3.22+3.01)/3</f>
        <v>3.1366666666666667</v>
      </c>
      <c r="G22" s="100">
        <f>(3.18+3.22+3.01)/3</f>
        <v>3.1366666666666667</v>
      </c>
      <c r="H22" s="36"/>
      <c r="I22" s="37"/>
      <c r="J22" s="36"/>
      <c r="K22" s="36" t="s">
        <v>63</v>
      </c>
    </row>
    <row r="23" spans="1:11" ht="16">
      <c r="A23" s="134"/>
      <c r="B23" s="136"/>
      <c r="C23" s="25" t="s">
        <v>387</v>
      </c>
      <c r="D23" s="26"/>
      <c r="E23" s="26"/>
      <c r="F23" s="100">
        <f>(3.96+3.49+3.88)/3</f>
        <v>3.7766666666666668</v>
      </c>
      <c r="G23" s="100">
        <f>(3.96+3.49+3.88)/3</f>
        <v>3.7766666666666668</v>
      </c>
      <c r="H23" s="36"/>
      <c r="I23" s="37"/>
      <c r="J23" s="36"/>
      <c r="K23" s="36" t="s">
        <v>63</v>
      </c>
    </row>
    <row r="24" spans="1:11" ht="16">
      <c r="A24" s="134"/>
      <c r="B24" s="136"/>
      <c r="C24" s="25" t="s">
        <v>388</v>
      </c>
      <c r="D24" s="26"/>
      <c r="E24" s="26"/>
      <c r="F24" s="89"/>
      <c r="G24" s="35"/>
      <c r="H24" s="36"/>
      <c r="I24" s="37"/>
      <c r="J24" s="36"/>
      <c r="K24" s="36" t="s">
        <v>63</v>
      </c>
    </row>
    <row r="25" spans="1:11" ht="16">
      <c r="A25" s="134"/>
      <c r="B25" s="136"/>
      <c r="C25" s="25" t="s">
        <v>389</v>
      </c>
      <c r="D25" s="26"/>
      <c r="E25" s="26"/>
      <c r="F25" s="89"/>
      <c r="G25" s="35"/>
      <c r="H25" s="36"/>
      <c r="I25" s="37"/>
      <c r="J25" s="36"/>
      <c r="K25" s="36" t="s">
        <v>63</v>
      </c>
    </row>
    <row r="26" spans="1:11" ht="16">
      <c r="A26" s="134"/>
      <c r="B26" s="136"/>
      <c r="C26" s="25" t="s">
        <v>390</v>
      </c>
      <c r="D26" s="26"/>
      <c r="E26" s="26"/>
      <c r="F26" s="89"/>
      <c r="G26" s="35"/>
      <c r="H26" s="36"/>
      <c r="I26" s="37"/>
      <c r="J26" s="36"/>
      <c r="K26" s="36" t="s">
        <v>63</v>
      </c>
    </row>
    <row r="27" spans="1:11" ht="16">
      <c r="A27" s="134"/>
      <c r="B27" s="136"/>
      <c r="C27" s="25" t="s">
        <v>391</v>
      </c>
      <c r="D27" s="26"/>
      <c r="E27" s="26"/>
      <c r="F27" s="89"/>
      <c r="G27" s="35"/>
      <c r="H27" s="36"/>
      <c r="I27" s="37"/>
      <c r="J27" s="36"/>
      <c r="K27" s="36" t="s">
        <v>63</v>
      </c>
    </row>
    <row r="28" spans="1:11" ht="16">
      <c r="A28" s="134"/>
      <c r="B28" s="136"/>
      <c r="C28" s="25" t="s">
        <v>392</v>
      </c>
      <c r="D28" s="26"/>
      <c r="E28" s="26"/>
      <c r="F28" s="89"/>
      <c r="G28" s="35"/>
      <c r="H28" s="36"/>
      <c r="I28" s="37"/>
      <c r="J28" s="36"/>
      <c r="K28" s="36" t="s">
        <v>63</v>
      </c>
    </row>
    <row r="29" spans="1:11" ht="32">
      <c r="A29" s="134"/>
      <c r="B29" s="136"/>
      <c r="C29" s="25" t="s">
        <v>393</v>
      </c>
      <c r="D29" s="26"/>
      <c r="E29" s="26"/>
      <c r="F29" s="89">
        <v>0</v>
      </c>
      <c r="G29" s="89">
        <v>0</v>
      </c>
      <c r="H29" s="36"/>
      <c r="I29" s="37"/>
      <c r="J29" s="36"/>
      <c r="K29" s="36" t="s">
        <v>63</v>
      </c>
    </row>
    <row r="30" spans="1:11" ht="16">
      <c r="A30" s="134"/>
      <c r="B30" s="136"/>
      <c r="C30" s="25" t="s">
        <v>394</v>
      </c>
      <c r="D30" s="26"/>
      <c r="E30" s="26"/>
      <c r="F30" s="92" t="s">
        <v>1240</v>
      </c>
      <c r="G30" s="83" t="s">
        <v>1240</v>
      </c>
      <c r="H30" s="36"/>
      <c r="I30" s="37"/>
      <c r="J30" s="36"/>
      <c r="K30" s="36" t="s">
        <v>63</v>
      </c>
    </row>
    <row r="31" spans="1:11" ht="16">
      <c r="A31" s="134"/>
      <c r="B31" s="136"/>
      <c r="C31" s="25" t="s">
        <v>395</v>
      </c>
      <c r="D31" s="26"/>
      <c r="E31" s="26"/>
      <c r="F31" s="92" t="s">
        <v>1240</v>
      </c>
      <c r="G31" s="83" t="s">
        <v>1240</v>
      </c>
      <c r="H31" s="36"/>
      <c r="I31" s="37"/>
      <c r="J31" s="36"/>
      <c r="K31" s="36" t="s">
        <v>63</v>
      </c>
    </row>
    <row r="32" spans="1:11" ht="32">
      <c r="A32" s="134"/>
      <c r="B32" s="136"/>
      <c r="C32" s="25" t="s">
        <v>396</v>
      </c>
      <c r="D32" s="26" t="s">
        <v>397</v>
      </c>
      <c r="E32" s="26"/>
      <c r="F32" s="89" t="s">
        <v>398</v>
      </c>
      <c r="G32" s="35" t="s">
        <v>398</v>
      </c>
      <c r="H32" s="36"/>
      <c r="I32" s="37"/>
      <c r="J32" s="36"/>
      <c r="K32" s="36" t="s">
        <v>63</v>
      </c>
    </row>
    <row r="33" spans="1:11" ht="32">
      <c r="A33" s="134"/>
      <c r="B33" s="136"/>
      <c r="C33" s="25" t="s">
        <v>399</v>
      </c>
      <c r="D33" s="26" t="s">
        <v>397</v>
      </c>
      <c r="E33" s="26"/>
      <c r="F33" s="26" t="s">
        <v>398</v>
      </c>
      <c r="G33" s="36" t="s">
        <v>398</v>
      </c>
      <c r="H33" s="36"/>
      <c r="I33" s="37"/>
      <c r="J33" s="36"/>
      <c r="K33" s="36" t="s">
        <v>63</v>
      </c>
    </row>
    <row r="34" spans="1:11" ht="16">
      <c r="A34" s="134"/>
      <c r="B34" s="137"/>
      <c r="C34" s="25" t="s">
        <v>400</v>
      </c>
      <c r="D34" s="26" t="s">
        <v>397</v>
      </c>
      <c r="E34" s="26"/>
      <c r="F34" s="26" t="s">
        <v>398</v>
      </c>
      <c r="G34" s="36" t="s">
        <v>398</v>
      </c>
      <c r="H34" s="36"/>
      <c r="I34" s="37"/>
      <c r="J34" s="36"/>
      <c r="K34" s="36" t="s">
        <v>63</v>
      </c>
    </row>
    <row r="35" spans="1:11" ht="16">
      <c r="A35" s="138" t="s">
        <v>401</v>
      </c>
      <c r="B35" s="138" t="s">
        <v>402</v>
      </c>
      <c r="C35" s="25" t="s">
        <v>403</v>
      </c>
      <c r="D35" s="26" t="s">
        <v>404</v>
      </c>
      <c r="E35" s="26"/>
      <c r="F35" s="105">
        <f>(500+617+662)/3</f>
        <v>593</v>
      </c>
      <c r="G35" s="99">
        <f>(747+511+420)/3</f>
        <v>559.33333333333337</v>
      </c>
      <c r="H35" s="36"/>
      <c r="I35" s="37"/>
      <c r="J35" s="36"/>
      <c r="K35" s="36" t="s">
        <v>63</v>
      </c>
    </row>
    <row r="36" spans="1:11" ht="16">
      <c r="A36" s="138"/>
      <c r="B36" s="138"/>
      <c r="C36" s="25" t="s">
        <v>405</v>
      </c>
      <c r="D36" s="28" t="s">
        <v>406</v>
      </c>
      <c r="E36" s="28"/>
      <c r="F36" s="90">
        <f>(1.2+1.11+1.413)/3</f>
        <v>1.2409999999999999</v>
      </c>
      <c r="G36" s="26">
        <f>(0.769+0.743+0.837)/3</f>
        <v>0.78300000000000003</v>
      </c>
      <c r="H36" s="38"/>
      <c r="I36" s="37"/>
      <c r="J36" s="38"/>
      <c r="K36" s="36" t="s">
        <v>63</v>
      </c>
    </row>
    <row r="37" spans="1:11" ht="16">
      <c r="A37" s="138"/>
      <c r="B37" s="138"/>
      <c r="C37" s="25" t="s">
        <v>407</v>
      </c>
      <c r="D37" s="26" t="s">
        <v>408</v>
      </c>
      <c r="E37" s="26"/>
      <c r="F37" s="89">
        <f>(466+578+612)/3</f>
        <v>552</v>
      </c>
      <c r="G37" s="26">
        <f>(717+659+691)/3</f>
        <v>689</v>
      </c>
      <c r="H37" s="36"/>
      <c r="I37" s="37"/>
      <c r="J37" s="36"/>
      <c r="K37" s="36" t="s">
        <v>63</v>
      </c>
    </row>
    <row r="38" spans="1:11" ht="16">
      <c r="A38" s="138"/>
      <c r="B38" s="138"/>
      <c r="C38" s="29" t="s">
        <v>409</v>
      </c>
      <c r="D38" s="30"/>
      <c r="E38" s="30"/>
      <c r="F38" s="91">
        <f>(1+0.963+1.04)/3</f>
        <v>1.0010000000000001</v>
      </c>
      <c r="G38" s="101">
        <f>(1+0.968+1.04)/3</f>
        <v>1.0026666666666666</v>
      </c>
      <c r="H38" s="39"/>
      <c r="I38" s="37"/>
      <c r="J38" s="39"/>
      <c r="K38" s="36" t="s">
        <v>63</v>
      </c>
    </row>
    <row r="39" spans="1:11" ht="16">
      <c r="A39" s="138"/>
      <c r="B39" s="138"/>
      <c r="C39" s="29" t="s">
        <v>410</v>
      </c>
      <c r="D39" s="30"/>
      <c r="E39" s="30"/>
      <c r="F39" s="101">
        <f>(0.996+1.01+1.563)/3</f>
        <v>1.1896666666666667</v>
      </c>
      <c r="G39" s="101">
        <f>(0.996+1.04+1.563)/3</f>
        <v>1.1996666666666667</v>
      </c>
      <c r="H39" s="39"/>
      <c r="I39" s="37"/>
      <c r="J39" s="39"/>
      <c r="K39" s="36" t="s">
        <v>63</v>
      </c>
    </row>
    <row r="40" spans="1:11" ht="16">
      <c r="A40" s="138"/>
      <c r="B40" s="138"/>
      <c r="C40" s="25" t="s">
        <v>411</v>
      </c>
      <c r="D40" s="30" t="s">
        <v>404</v>
      </c>
      <c r="E40" s="30"/>
      <c r="F40" s="99">
        <f>(378+27+122)/3</f>
        <v>175.66666666666666</v>
      </c>
      <c r="G40" s="99">
        <f>(379+27+122)/3</f>
        <v>176</v>
      </c>
      <c r="H40" s="39"/>
      <c r="I40" s="37"/>
      <c r="J40" s="39"/>
      <c r="K40" s="36" t="s">
        <v>63</v>
      </c>
    </row>
    <row r="41" spans="1:11" ht="16">
      <c r="A41" s="138"/>
      <c r="B41" s="138"/>
      <c r="C41" s="31" t="s">
        <v>412</v>
      </c>
      <c r="D41" s="26" t="s">
        <v>404</v>
      </c>
      <c r="E41" s="26"/>
      <c r="F41" s="99">
        <f>(383+38+297)/3</f>
        <v>239.33333333333334</v>
      </c>
      <c r="G41" s="99">
        <f>(385+39+297)/3</f>
        <v>240.33333333333334</v>
      </c>
      <c r="H41" s="36"/>
      <c r="I41" s="37"/>
      <c r="J41" s="36"/>
      <c r="K41" s="36" t="s">
        <v>63</v>
      </c>
    </row>
    <row r="42" spans="1:11" ht="16">
      <c r="A42" s="138"/>
      <c r="B42" s="138"/>
      <c r="C42" s="31" t="s">
        <v>413</v>
      </c>
      <c r="D42" s="26" t="s">
        <v>404</v>
      </c>
      <c r="E42" s="26"/>
      <c r="F42" s="99">
        <f>(378+270+122)/3</f>
        <v>256.66666666666669</v>
      </c>
      <c r="G42" s="99">
        <f>(379+270+122)/3</f>
        <v>257</v>
      </c>
      <c r="H42" s="36"/>
      <c r="I42" s="37"/>
      <c r="J42" s="36"/>
      <c r="K42" s="36" t="s">
        <v>63</v>
      </c>
    </row>
    <row r="43" spans="1:11" ht="16">
      <c r="A43" s="138"/>
      <c r="B43" s="138"/>
      <c r="C43" s="31" t="s">
        <v>414</v>
      </c>
      <c r="D43" s="26" t="s">
        <v>404</v>
      </c>
      <c r="E43" s="40" t="s">
        <v>415</v>
      </c>
      <c r="F43" s="104" t="s">
        <v>254</v>
      </c>
      <c r="G43" s="102" t="s">
        <v>254</v>
      </c>
      <c r="H43" s="36"/>
      <c r="I43" s="37"/>
      <c r="J43" s="36"/>
      <c r="K43" s="36" t="s">
        <v>63</v>
      </c>
    </row>
    <row r="44" spans="1:11" ht="16">
      <c r="A44" s="138"/>
      <c r="B44" s="138"/>
      <c r="C44" s="29" t="s">
        <v>416</v>
      </c>
      <c r="D44" s="26"/>
      <c r="E44" s="26"/>
      <c r="F44" s="100">
        <f>(1.6+1.312+1.44)/3</f>
        <v>1.4506666666666668</v>
      </c>
      <c r="G44" s="100">
        <f>(1.6+1.312+1.44)/3</f>
        <v>1.4506666666666668</v>
      </c>
      <c r="H44" s="36"/>
      <c r="I44" s="37"/>
      <c r="J44" s="36"/>
      <c r="K44" s="36" t="s">
        <v>63</v>
      </c>
    </row>
    <row r="45" spans="1:11" ht="16">
      <c r="A45" s="138"/>
      <c r="B45" s="138"/>
      <c r="C45" s="29" t="s">
        <v>417</v>
      </c>
      <c r="D45" s="26"/>
      <c r="E45" s="26"/>
      <c r="F45" s="100">
        <f>(1.367+1.442+1.52)/3</f>
        <v>1.4430000000000003</v>
      </c>
      <c r="G45" s="100">
        <f>(1.367+1.442+1.52)/3</f>
        <v>1.4430000000000003</v>
      </c>
      <c r="H45" s="36"/>
      <c r="I45" s="37"/>
      <c r="J45" s="36"/>
      <c r="K45" s="36" t="s">
        <v>63</v>
      </c>
    </row>
    <row r="46" spans="1:11" ht="16">
      <c r="A46" s="138"/>
      <c r="B46" s="138"/>
      <c r="C46" s="29" t="s">
        <v>418</v>
      </c>
      <c r="D46" s="26"/>
      <c r="E46" s="26"/>
      <c r="F46" s="100">
        <f>(833+716+992)/3</f>
        <v>847</v>
      </c>
      <c r="G46" s="100">
        <f>(833+716+992)/3</f>
        <v>847</v>
      </c>
      <c r="H46" s="36"/>
      <c r="I46" s="37"/>
      <c r="J46" s="36"/>
      <c r="K46" s="36" t="s">
        <v>63</v>
      </c>
    </row>
    <row r="47" spans="1:11" ht="16">
      <c r="A47" s="138"/>
      <c r="B47" s="138"/>
      <c r="C47" s="32" t="s">
        <v>419</v>
      </c>
      <c r="D47" s="26"/>
      <c r="E47" s="26"/>
      <c r="F47" s="100">
        <f>(267+412+443)/3</f>
        <v>374</v>
      </c>
      <c r="G47" s="100">
        <f>(267+412+443)/3</f>
        <v>374</v>
      </c>
      <c r="H47" s="36"/>
      <c r="I47" s="37"/>
      <c r="J47" s="36"/>
      <c r="K47" s="36" t="s">
        <v>63</v>
      </c>
    </row>
    <row r="48" spans="1:11" ht="16">
      <c r="A48" s="138"/>
      <c r="B48" s="138"/>
      <c r="C48" s="32" t="s">
        <v>420</v>
      </c>
      <c r="D48" s="26"/>
      <c r="E48" s="26"/>
      <c r="F48" s="100">
        <f>(296+357+415)/3</f>
        <v>356</v>
      </c>
      <c r="G48" s="100">
        <f>(296+357+415)/3</f>
        <v>356</v>
      </c>
      <c r="H48" s="36"/>
      <c r="I48" s="37"/>
      <c r="J48" s="36"/>
      <c r="K48" s="36" t="s">
        <v>63</v>
      </c>
    </row>
    <row r="49" spans="1:11" ht="16">
      <c r="A49" s="138"/>
      <c r="B49" s="138"/>
      <c r="C49" s="25" t="s">
        <v>421</v>
      </c>
      <c r="D49" s="26"/>
      <c r="E49" s="26"/>
      <c r="F49" s="100">
        <f>(500+617+662)/3</f>
        <v>593</v>
      </c>
      <c r="G49" s="99">
        <f>(3731+3414+3491)/3</f>
        <v>3545.3333333333335</v>
      </c>
      <c r="H49" s="36"/>
      <c r="I49" s="37"/>
      <c r="J49" s="36"/>
      <c r="K49" s="36" t="s">
        <v>63</v>
      </c>
    </row>
    <row r="50" spans="1:11" ht="16">
      <c r="A50" s="139" t="s">
        <v>422</v>
      </c>
      <c r="B50" s="139" t="s">
        <v>423</v>
      </c>
      <c r="C50" s="25" t="s">
        <v>424</v>
      </c>
      <c r="D50" s="33" t="s">
        <v>425</v>
      </c>
      <c r="E50" s="41">
        <f>(1.99+1.83+1.6)/3</f>
        <v>1.8066666666666666</v>
      </c>
      <c r="F50" s="103">
        <f>(0.266+0.266+0.267)/3</f>
        <v>0.26633333333333337</v>
      </c>
      <c r="G50" s="103">
        <f>(0.989+0.635+0.635)/3</f>
        <v>0.75300000000000011</v>
      </c>
      <c r="H50" s="42"/>
      <c r="I50" s="37"/>
      <c r="J50" s="43"/>
      <c r="K50" s="36" t="s">
        <v>426</v>
      </c>
    </row>
    <row r="51" spans="1:11" ht="16">
      <c r="A51" s="139"/>
      <c r="B51" s="139"/>
      <c r="C51" s="31" t="s">
        <v>427</v>
      </c>
      <c r="D51" s="30" t="s">
        <v>425</v>
      </c>
      <c r="E51" s="30"/>
      <c r="F51" s="101">
        <f>(1.538+1.27+1.03)/3</f>
        <v>1.2793333333333334</v>
      </c>
      <c r="G51" s="99">
        <f>(1.398+1.704+1.804)/3</f>
        <v>1.6353333333333333</v>
      </c>
      <c r="H51" s="39"/>
      <c r="I51" s="37"/>
      <c r="J51" s="39"/>
      <c r="K51" s="39" t="s">
        <v>63</v>
      </c>
    </row>
    <row r="52" spans="1:11" ht="16">
      <c r="A52" s="139"/>
      <c r="B52" s="139"/>
      <c r="C52" s="31" t="s">
        <v>428</v>
      </c>
      <c r="D52" s="26" t="s">
        <v>429</v>
      </c>
      <c r="E52" s="26"/>
      <c r="F52" s="100">
        <f>(1.033+1.176+0.933)/3</f>
        <v>1.0473333333333332</v>
      </c>
      <c r="G52" s="99">
        <f>(1.471+1.538+1.504)/3</f>
        <v>1.5043333333333333</v>
      </c>
      <c r="H52" s="36"/>
      <c r="I52" s="37"/>
      <c r="J52" s="36"/>
      <c r="K52" s="36" t="s">
        <v>63</v>
      </c>
    </row>
    <row r="53" spans="1:11" ht="16">
      <c r="A53" s="140" t="s">
        <v>430</v>
      </c>
      <c r="B53" s="132" t="s">
        <v>423</v>
      </c>
      <c r="C53" s="34" t="s">
        <v>431</v>
      </c>
      <c r="D53" s="26" t="s">
        <v>56</v>
      </c>
      <c r="E53" s="26"/>
      <c r="F53" s="100">
        <f>(0.769+0.802+0.888)/3</f>
        <v>0.81966666666666665</v>
      </c>
      <c r="G53" s="99">
        <f>(1.237+1.036+1.342)/3</f>
        <v>1.2050000000000001</v>
      </c>
      <c r="H53" s="36"/>
      <c r="I53" s="37"/>
      <c r="J53" s="36"/>
      <c r="K53" s="36" t="s">
        <v>63</v>
      </c>
    </row>
    <row r="54" spans="1:11" ht="16">
      <c r="A54" s="142"/>
      <c r="B54" s="134"/>
      <c r="C54" s="34" t="s">
        <v>432</v>
      </c>
      <c r="D54" s="26" t="s">
        <v>56</v>
      </c>
      <c r="E54" s="26"/>
      <c r="F54" s="100">
        <f>(0.788+0.801+0.822)/3</f>
        <v>0.80366666666666664</v>
      </c>
      <c r="G54" s="99">
        <f>(1.071+0.935+1.003)/3</f>
        <v>1.0030000000000001</v>
      </c>
      <c r="H54" s="36"/>
      <c r="I54" s="37"/>
      <c r="J54" s="36"/>
      <c r="K54" s="36" t="s">
        <v>63</v>
      </c>
    </row>
    <row r="55" spans="1:11" ht="16">
      <c r="A55" s="141"/>
      <c r="B55" s="133"/>
      <c r="C55" s="34" t="s">
        <v>433</v>
      </c>
      <c r="D55" s="26" t="s">
        <v>56</v>
      </c>
      <c r="E55" s="26"/>
      <c r="F55" s="104" t="s">
        <v>254</v>
      </c>
      <c r="G55" s="104" t="s">
        <v>254</v>
      </c>
      <c r="H55" s="36"/>
      <c r="I55" s="37"/>
      <c r="J55" s="36"/>
      <c r="K55" s="36" t="s">
        <v>63</v>
      </c>
    </row>
    <row r="56" spans="1:11" ht="16">
      <c r="A56" s="26" t="s">
        <v>434</v>
      </c>
      <c r="B56" s="26" t="s">
        <v>423</v>
      </c>
      <c r="C56" s="34" t="s">
        <v>435</v>
      </c>
      <c r="D56" s="26" t="s">
        <v>56</v>
      </c>
      <c r="E56" s="26"/>
      <c r="F56" s="100">
        <f>(1.03+1.11+1.05)/3</f>
        <v>1.0633333333333335</v>
      </c>
      <c r="G56" s="99">
        <f>(1.438+1.221+1.271)/3</f>
        <v>1.3099999999999998</v>
      </c>
      <c r="H56" s="36"/>
      <c r="I56" s="37"/>
      <c r="J56" s="36"/>
      <c r="K56" s="36" t="s">
        <v>63</v>
      </c>
    </row>
    <row r="57" spans="1:11" ht="16">
      <c r="A57" s="143" t="s">
        <v>436</v>
      </c>
      <c r="B57" s="140" t="s">
        <v>423</v>
      </c>
      <c r="C57" s="34" t="s">
        <v>437</v>
      </c>
      <c r="D57" s="26" t="s">
        <v>56</v>
      </c>
      <c r="E57" s="26"/>
      <c r="F57" s="100">
        <f>(1.233+1.301+1.32)/3</f>
        <v>1.2846666666666666</v>
      </c>
      <c r="G57" s="99">
        <f>(1.323+1.304+1.704)/3</f>
        <v>1.4436666666666664</v>
      </c>
      <c r="H57" s="36"/>
      <c r="I57" s="37"/>
      <c r="J57" s="36"/>
      <c r="K57" s="36" t="s">
        <v>63</v>
      </c>
    </row>
    <row r="58" spans="1:11" ht="16">
      <c r="A58" s="144"/>
      <c r="B58" s="141"/>
      <c r="C58" s="34" t="s">
        <v>438</v>
      </c>
      <c r="D58" s="26" t="s">
        <v>82</v>
      </c>
      <c r="E58" s="26"/>
      <c r="F58" s="104" t="s">
        <v>254</v>
      </c>
      <c r="G58" s="104" t="s">
        <v>254</v>
      </c>
      <c r="H58" s="36"/>
      <c r="I58" s="37"/>
      <c r="J58" s="36"/>
      <c r="K58" s="36" t="s">
        <v>63</v>
      </c>
    </row>
    <row r="59" spans="1:11" ht="16">
      <c r="A59" s="26" t="s">
        <v>439</v>
      </c>
      <c r="B59" s="26" t="s">
        <v>423</v>
      </c>
      <c r="C59" s="34" t="s">
        <v>440</v>
      </c>
      <c r="D59" s="26" t="s">
        <v>56</v>
      </c>
      <c r="E59" s="26"/>
      <c r="F59" s="100">
        <f>(1.471+1.445+1.44)/3</f>
        <v>1.452</v>
      </c>
      <c r="G59" s="99">
        <f>(1.704+1.371+1.554)/3</f>
        <v>1.5430000000000001</v>
      </c>
      <c r="H59" s="36"/>
      <c r="I59" s="37"/>
      <c r="J59" s="36"/>
      <c r="K59" s="36" t="s">
        <v>63</v>
      </c>
    </row>
    <row r="60" spans="1:11" ht="16">
      <c r="A60" s="132" t="s">
        <v>441</v>
      </c>
      <c r="B60" s="140" t="s">
        <v>423</v>
      </c>
      <c r="C60" s="34" t="s">
        <v>442</v>
      </c>
      <c r="D60" s="26" t="s">
        <v>56</v>
      </c>
      <c r="E60" s="26"/>
      <c r="F60" s="104" t="s">
        <v>254</v>
      </c>
      <c r="G60" s="102" t="s">
        <v>254</v>
      </c>
      <c r="H60" s="36"/>
      <c r="I60" s="37"/>
      <c r="J60" s="36"/>
      <c r="K60" s="36" t="s">
        <v>63</v>
      </c>
    </row>
    <row r="61" spans="1:11" ht="16">
      <c r="A61" s="133"/>
      <c r="B61" s="141"/>
      <c r="C61" s="34" t="s">
        <v>443</v>
      </c>
      <c r="D61" s="26" t="s">
        <v>425</v>
      </c>
      <c r="E61" s="26"/>
      <c r="F61" s="104" t="s">
        <v>254</v>
      </c>
      <c r="G61" s="102" t="s">
        <v>254</v>
      </c>
      <c r="H61" s="36"/>
      <c r="I61" s="37"/>
      <c r="J61" s="36"/>
      <c r="K61" s="36" t="s">
        <v>63</v>
      </c>
    </row>
    <row r="62" spans="1:11" ht="16">
      <c r="A62" s="132" t="s">
        <v>444</v>
      </c>
      <c r="B62" s="140" t="s">
        <v>423</v>
      </c>
      <c r="C62" s="34" t="s">
        <v>445</v>
      </c>
      <c r="D62" s="26" t="s">
        <v>98</v>
      </c>
      <c r="E62" s="26"/>
      <c r="F62" s="100">
        <f>(5.145+4.9+6.71)/3</f>
        <v>5.585</v>
      </c>
      <c r="G62" s="99">
        <f>(4.449+4.376+4.865)/3</f>
        <v>4.5633333333333335</v>
      </c>
      <c r="H62" s="36"/>
      <c r="I62" s="37"/>
      <c r="J62" s="36"/>
      <c r="K62" s="36" t="s">
        <v>63</v>
      </c>
    </row>
    <row r="63" spans="1:11" ht="16">
      <c r="A63" s="134"/>
      <c r="B63" s="142"/>
      <c r="C63" s="34" t="s">
        <v>446</v>
      </c>
      <c r="D63" s="26" t="s">
        <v>98</v>
      </c>
      <c r="E63" s="26"/>
      <c r="F63" s="100">
        <f>(5.77+5.211+4.431)/3</f>
        <v>5.1373333333333333</v>
      </c>
      <c r="G63" s="99">
        <f>(4.124+4.224+4.132)/3</f>
        <v>4.1599999999999993</v>
      </c>
      <c r="H63" s="36"/>
      <c r="I63" s="37"/>
      <c r="J63" s="36"/>
      <c r="K63" s="36" t="s">
        <v>63</v>
      </c>
    </row>
    <row r="64" spans="1:11" ht="16">
      <c r="A64" s="133"/>
      <c r="B64" s="141"/>
      <c r="C64" s="34" t="s">
        <v>447</v>
      </c>
      <c r="D64" s="26" t="s">
        <v>98</v>
      </c>
      <c r="E64" s="26"/>
      <c r="F64" s="89">
        <f>(4.193+4.04+4.778)/3</f>
        <v>4.3369999999999997</v>
      </c>
      <c r="G64" s="99">
        <f>(4.121+4.308+4.154)/3</f>
        <v>4.1943333333333337</v>
      </c>
      <c r="H64" s="36"/>
      <c r="I64" s="37"/>
      <c r="J64" s="36"/>
      <c r="K64" s="36" t="s">
        <v>63</v>
      </c>
    </row>
    <row r="65" spans="1:7" s="19" customFormat="1">
      <c r="A65" s="20"/>
      <c r="B65" s="20"/>
      <c r="C65" s="20"/>
      <c r="D65" s="21"/>
      <c r="E65" s="21"/>
      <c r="F65" s="21"/>
      <c r="G65" s="22"/>
    </row>
    <row r="66" spans="1:7" s="19" customFormat="1">
      <c r="A66" s="20"/>
      <c r="B66" s="20"/>
      <c r="C66" s="20"/>
      <c r="D66" s="21"/>
      <c r="E66" s="21"/>
      <c r="F66" s="21"/>
      <c r="G66" s="22"/>
    </row>
    <row r="67" spans="1:7" s="19" customFormat="1">
      <c r="A67" s="20"/>
      <c r="B67" s="20"/>
      <c r="C67" s="20"/>
      <c r="D67" s="21"/>
      <c r="E67" s="21"/>
      <c r="F67" s="21"/>
      <c r="G67" s="22"/>
    </row>
    <row r="72" spans="1:7" s="19" customFormat="1">
      <c r="A72" s="20"/>
      <c r="B72" s="20"/>
      <c r="C72" s="20"/>
      <c r="D72" s="21"/>
      <c r="E72" s="21"/>
      <c r="F72" s="93"/>
      <c r="G72" s="20"/>
    </row>
  </sheetData>
  <autoFilter ref="A1:K64" xr:uid="{00000000-0009-0000-0000-000002000000}"/>
  <mergeCells count="14">
    <mergeCell ref="A60:A61"/>
    <mergeCell ref="A62:A64"/>
    <mergeCell ref="B2:B34"/>
    <mergeCell ref="B35:B49"/>
    <mergeCell ref="B50:B52"/>
    <mergeCell ref="B53:B55"/>
    <mergeCell ref="B57:B58"/>
    <mergeCell ref="B60:B61"/>
    <mergeCell ref="B62:B64"/>
    <mergeCell ref="A2:A34"/>
    <mergeCell ref="A35:A49"/>
    <mergeCell ref="A50:A52"/>
    <mergeCell ref="A53:A55"/>
    <mergeCell ref="A57:A58"/>
  </mergeCells>
  <phoneticPr fontId="36" type="noConversion"/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9"/>
  <sheetViews>
    <sheetView zoomScale="120" zoomScaleNormal="120" workbookViewId="0">
      <pane xSplit="1" ySplit="1" topLeftCell="B21" activePane="bottomRight" state="frozen"/>
      <selection pane="topRight"/>
      <selection pane="bottomLeft"/>
      <selection pane="bottomRight" activeCell="O29" sqref="O29:P29"/>
    </sheetView>
  </sheetViews>
  <sheetFormatPr baseColWidth="10" defaultColWidth="9" defaultRowHeight="15"/>
  <cols>
    <col min="1" max="1" width="16.6640625" style="18" customWidth="1"/>
    <col min="2" max="2" width="24" style="18" customWidth="1"/>
    <col min="3" max="3" width="11.5" style="18" customWidth="1"/>
    <col min="4" max="4" width="28.33203125" style="18" customWidth="1"/>
    <col min="5" max="5" width="9" style="18"/>
    <col min="6" max="6" width="16.6640625" style="18" customWidth="1"/>
    <col min="7" max="9" width="14.1640625" style="18" customWidth="1"/>
    <col min="10" max="10" width="12" style="18" customWidth="1"/>
    <col min="11" max="11" width="12.1640625" style="18" customWidth="1"/>
    <col min="12" max="12" width="14.1640625" style="18" customWidth="1"/>
    <col min="13" max="14" width="17.1640625" style="18" customWidth="1"/>
    <col min="15" max="16" width="18.5" style="18" customWidth="1"/>
    <col min="17" max="17" width="12" style="18" customWidth="1"/>
    <col min="18" max="18" width="12.1640625" style="18" customWidth="1"/>
    <col min="19" max="19" width="26.6640625" style="18" customWidth="1"/>
    <col min="20" max="20" width="24.1640625" style="18" customWidth="1"/>
    <col min="21" max="21" width="27.5" style="18" customWidth="1"/>
    <col min="22" max="22" width="13" style="18" customWidth="1"/>
    <col min="23" max="16384" width="9" style="18"/>
  </cols>
  <sheetData>
    <row r="1" spans="1:22">
      <c r="A1" s="16" t="s">
        <v>448</v>
      </c>
      <c r="B1" s="16" t="s">
        <v>449</v>
      </c>
      <c r="C1" s="16" t="s">
        <v>450</v>
      </c>
      <c r="D1" s="16" t="s">
        <v>451</v>
      </c>
      <c r="E1" s="16" t="s">
        <v>53</v>
      </c>
      <c r="F1" s="16" t="s">
        <v>452</v>
      </c>
      <c r="G1" s="16" t="s">
        <v>453</v>
      </c>
      <c r="H1" s="16" t="s">
        <v>454</v>
      </c>
      <c r="I1" s="16" t="s">
        <v>455</v>
      </c>
      <c r="J1" s="16" t="s">
        <v>456</v>
      </c>
      <c r="K1" s="16" t="s">
        <v>457</v>
      </c>
      <c r="L1" s="16" t="s">
        <v>458</v>
      </c>
      <c r="M1" s="16" t="s">
        <v>452</v>
      </c>
      <c r="N1" s="16" t="s">
        <v>453</v>
      </c>
      <c r="O1" s="16" t="s">
        <v>454</v>
      </c>
      <c r="P1" s="16" t="s">
        <v>455</v>
      </c>
      <c r="Q1" s="16" t="s">
        <v>456</v>
      </c>
      <c r="R1" s="16" t="s">
        <v>457</v>
      </c>
      <c r="S1" s="16" t="s">
        <v>459</v>
      </c>
      <c r="T1" s="16" t="s">
        <v>460</v>
      </c>
      <c r="U1" s="16" t="s">
        <v>461</v>
      </c>
      <c r="V1" s="16" t="s">
        <v>462</v>
      </c>
    </row>
    <row r="2" spans="1:22">
      <c r="A2" s="17" t="s">
        <v>401</v>
      </c>
      <c r="B2" s="17" t="s">
        <v>463</v>
      </c>
      <c r="C2" s="18" t="s">
        <v>464</v>
      </c>
      <c r="D2" s="17" t="s">
        <v>465</v>
      </c>
      <c r="E2" s="18" t="s">
        <v>63</v>
      </c>
      <c r="F2" s="18">
        <v>16.34</v>
      </c>
      <c r="G2" s="18">
        <v>29.3</v>
      </c>
      <c r="H2" s="18">
        <v>309.52</v>
      </c>
      <c r="I2" s="18">
        <v>333.14</v>
      </c>
      <c r="J2" s="18">
        <v>6</v>
      </c>
      <c r="K2" s="18">
        <v>15</v>
      </c>
      <c r="L2" s="18" t="s">
        <v>466</v>
      </c>
      <c r="M2" s="18">
        <v>13.01</v>
      </c>
      <c r="N2" s="18">
        <v>36</v>
      </c>
      <c r="O2" s="18">
        <v>292.45</v>
      </c>
      <c r="P2" s="18">
        <v>315.04000000000002</v>
      </c>
      <c r="Q2" s="18">
        <v>7</v>
      </c>
      <c r="R2" s="18">
        <v>7</v>
      </c>
    </row>
    <row r="3" spans="1:22">
      <c r="B3" s="17" t="s">
        <v>467</v>
      </c>
      <c r="C3" s="18" t="s">
        <v>464</v>
      </c>
      <c r="D3" s="17" t="s">
        <v>465</v>
      </c>
      <c r="E3" s="18" t="s">
        <v>63</v>
      </c>
      <c r="F3" s="18">
        <v>16.77</v>
      </c>
      <c r="G3" s="18">
        <v>36.6</v>
      </c>
      <c r="H3" s="18">
        <v>314.24</v>
      </c>
      <c r="I3" s="18">
        <v>336.77</v>
      </c>
      <c r="J3" s="18">
        <v>9</v>
      </c>
      <c r="K3" s="18">
        <v>13</v>
      </c>
      <c r="L3" s="18" t="s">
        <v>466</v>
      </c>
      <c r="M3" s="18">
        <v>13.2</v>
      </c>
      <c r="N3" s="18">
        <v>39.6</v>
      </c>
      <c r="O3" s="18">
        <v>292.83999999999997</v>
      </c>
      <c r="P3" s="18">
        <v>318.66000000000003</v>
      </c>
      <c r="Q3" s="18">
        <v>9</v>
      </c>
      <c r="R3" s="18">
        <v>9</v>
      </c>
    </row>
    <row r="4" spans="1:22">
      <c r="B4" s="17" t="s">
        <v>468</v>
      </c>
      <c r="C4" s="18" t="s">
        <v>464</v>
      </c>
      <c r="D4" s="17" t="s">
        <v>465</v>
      </c>
      <c r="E4" s="18" t="s">
        <v>63</v>
      </c>
      <c r="F4" s="18">
        <v>16.72</v>
      </c>
      <c r="G4" s="18">
        <v>24.6</v>
      </c>
      <c r="H4" s="18">
        <v>309.32</v>
      </c>
      <c r="I4" s="18">
        <v>325.89999999999998</v>
      </c>
      <c r="J4" s="18">
        <v>6</v>
      </c>
      <c r="K4" s="18">
        <v>13</v>
      </c>
      <c r="L4" s="18" t="s">
        <v>466</v>
      </c>
      <c r="M4" s="18">
        <v>14.33</v>
      </c>
      <c r="N4" s="18">
        <v>26.6</v>
      </c>
      <c r="O4" s="18">
        <v>282.75</v>
      </c>
      <c r="P4" s="18">
        <v>311.42</v>
      </c>
      <c r="Q4" s="18">
        <v>4</v>
      </c>
      <c r="R4" s="18">
        <v>4</v>
      </c>
    </row>
    <row r="5" spans="1:22">
      <c r="B5" s="17" t="s">
        <v>469</v>
      </c>
      <c r="C5" s="18" t="s">
        <v>464</v>
      </c>
      <c r="D5" s="17" t="s">
        <v>465</v>
      </c>
      <c r="E5" s="18" t="s">
        <v>63</v>
      </c>
      <c r="F5" s="18">
        <v>9.52</v>
      </c>
      <c r="G5" s="18">
        <v>18.7</v>
      </c>
      <c r="H5" s="18">
        <v>325.89999999999998</v>
      </c>
      <c r="I5" s="18">
        <v>308.45999999999998</v>
      </c>
      <c r="J5" s="18">
        <v>5</v>
      </c>
      <c r="K5" s="18">
        <v>19</v>
      </c>
      <c r="L5" s="18" t="s">
        <v>466</v>
      </c>
      <c r="M5" s="18">
        <v>8.73</v>
      </c>
      <c r="N5" s="18">
        <v>11.6</v>
      </c>
      <c r="O5" s="18">
        <v>272.5</v>
      </c>
      <c r="P5" s="18">
        <v>307.8</v>
      </c>
      <c r="Q5" s="18">
        <v>3</v>
      </c>
      <c r="R5" s="18">
        <v>3</v>
      </c>
    </row>
    <row r="6" spans="1:22">
      <c r="B6" s="17" t="s">
        <v>470</v>
      </c>
      <c r="C6" s="18" t="s">
        <v>471</v>
      </c>
      <c r="D6" s="17" t="s">
        <v>465</v>
      </c>
      <c r="E6" s="18" t="s">
        <v>63</v>
      </c>
      <c r="F6" s="18">
        <v>8.35</v>
      </c>
      <c r="G6" s="18">
        <v>11</v>
      </c>
      <c r="H6" s="18">
        <v>314.48</v>
      </c>
      <c r="I6" s="18">
        <v>322.27999999999997</v>
      </c>
      <c r="J6" s="18">
        <v>5</v>
      </c>
      <c r="K6" s="18">
        <v>8</v>
      </c>
      <c r="L6" s="18" t="s">
        <v>466</v>
      </c>
      <c r="M6" s="18">
        <v>8.39</v>
      </c>
      <c r="N6" s="18">
        <v>10.3</v>
      </c>
      <c r="O6" s="18">
        <v>272.75</v>
      </c>
      <c r="P6" s="18">
        <v>307.8</v>
      </c>
      <c r="Q6" s="18">
        <v>4</v>
      </c>
      <c r="R6" s="18">
        <v>4</v>
      </c>
    </row>
    <row r="7" spans="1:22" ht="14" customHeight="1">
      <c r="A7" s="18" t="s">
        <v>472</v>
      </c>
      <c r="B7" s="18" t="s">
        <v>473</v>
      </c>
      <c r="C7" s="18" t="s">
        <v>464</v>
      </c>
      <c r="D7" s="18" t="s">
        <v>474</v>
      </c>
      <c r="E7" s="18" t="s">
        <v>63</v>
      </c>
      <c r="F7" s="18">
        <v>0</v>
      </c>
      <c r="G7" s="18">
        <v>0</v>
      </c>
      <c r="H7" s="18">
        <v>0</v>
      </c>
      <c r="I7" s="18">
        <v>0</v>
      </c>
      <c r="J7" s="18">
        <v>3</v>
      </c>
      <c r="K7" s="18">
        <v>3</v>
      </c>
      <c r="L7" s="18" t="s">
        <v>475</v>
      </c>
      <c r="M7" s="18">
        <v>0</v>
      </c>
      <c r="N7" s="18">
        <v>0</v>
      </c>
      <c r="O7" s="18">
        <v>0</v>
      </c>
      <c r="P7" s="18">
        <v>0</v>
      </c>
      <c r="Q7" s="18">
        <v>2</v>
      </c>
      <c r="R7" s="18">
        <v>2</v>
      </c>
    </row>
    <row r="8" spans="1:22">
      <c r="B8" s="18" t="s">
        <v>476</v>
      </c>
      <c r="C8" s="18" t="s">
        <v>464</v>
      </c>
      <c r="D8" s="18" t="s">
        <v>474</v>
      </c>
      <c r="E8" s="18" t="s">
        <v>63</v>
      </c>
      <c r="F8" s="18">
        <v>0</v>
      </c>
      <c r="G8" s="18">
        <v>0</v>
      </c>
      <c r="H8" s="18">
        <v>0</v>
      </c>
      <c r="I8" s="18">
        <v>0</v>
      </c>
      <c r="J8" s="18">
        <v>3</v>
      </c>
      <c r="K8" s="18">
        <v>3</v>
      </c>
      <c r="L8" s="18" t="s">
        <v>475</v>
      </c>
      <c r="M8" s="18">
        <v>0</v>
      </c>
      <c r="N8" s="18">
        <v>0</v>
      </c>
      <c r="O8" s="18">
        <v>0</v>
      </c>
      <c r="P8" s="18">
        <v>0</v>
      </c>
      <c r="Q8" s="18">
        <v>2</v>
      </c>
      <c r="R8" s="18">
        <v>2</v>
      </c>
    </row>
    <row r="9" spans="1:22">
      <c r="B9" s="18" t="s">
        <v>477</v>
      </c>
      <c r="C9" s="18" t="s">
        <v>464</v>
      </c>
      <c r="D9" s="18" t="s">
        <v>474</v>
      </c>
      <c r="E9" s="18" t="s">
        <v>63</v>
      </c>
      <c r="F9" s="18">
        <v>6.61</v>
      </c>
      <c r="G9" s="18">
        <v>27.6</v>
      </c>
      <c r="H9" s="18">
        <v>146.01</v>
      </c>
      <c r="I9" s="18">
        <v>159.33000000000001</v>
      </c>
      <c r="J9" s="18">
        <v>7</v>
      </c>
      <c r="K9" s="18">
        <v>7</v>
      </c>
      <c r="L9" s="18" t="s">
        <v>475</v>
      </c>
      <c r="M9" s="18">
        <v>3.55</v>
      </c>
      <c r="N9" s="18">
        <v>30</v>
      </c>
      <c r="O9" s="18">
        <v>139.66999999999999</v>
      </c>
      <c r="P9" s="18">
        <v>144.85</v>
      </c>
      <c r="Q9" s="18">
        <v>7</v>
      </c>
      <c r="R9" s="18">
        <v>7</v>
      </c>
    </row>
    <row r="10" spans="1:22">
      <c r="B10" s="18" t="s">
        <v>470</v>
      </c>
      <c r="C10" s="18" t="s">
        <v>471</v>
      </c>
      <c r="D10" s="18" t="s">
        <v>474</v>
      </c>
      <c r="E10" s="18" t="s">
        <v>63</v>
      </c>
      <c r="F10" s="18">
        <v>0</v>
      </c>
      <c r="G10" s="18">
        <v>0</v>
      </c>
      <c r="H10" s="18">
        <v>0</v>
      </c>
      <c r="I10" s="18">
        <v>0</v>
      </c>
      <c r="J10" s="18">
        <v>8</v>
      </c>
      <c r="K10" s="18">
        <v>8</v>
      </c>
      <c r="L10" s="18" t="s">
        <v>475</v>
      </c>
      <c r="M10" s="18">
        <v>0</v>
      </c>
      <c r="N10" s="18">
        <v>0</v>
      </c>
      <c r="O10" s="18">
        <v>0</v>
      </c>
      <c r="P10" s="18">
        <v>0</v>
      </c>
      <c r="Q10" s="18">
        <v>5</v>
      </c>
      <c r="R10" s="18">
        <v>5</v>
      </c>
    </row>
    <row r="11" spans="1:22">
      <c r="A11" s="18" t="s">
        <v>478</v>
      </c>
      <c r="B11" s="18" t="s">
        <v>477</v>
      </c>
      <c r="C11" s="18" t="s">
        <v>464</v>
      </c>
      <c r="D11" s="84" t="s">
        <v>479</v>
      </c>
      <c r="E11" s="18" t="s">
        <v>63</v>
      </c>
      <c r="F11" s="84" t="s">
        <v>254</v>
      </c>
      <c r="G11" s="84" t="s">
        <v>254</v>
      </c>
      <c r="H11" s="84" t="s">
        <v>254</v>
      </c>
      <c r="I11" s="84" t="s">
        <v>254</v>
      </c>
      <c r="J11" s="84" t="s">
        <v>254</v>
      </c>
      <c r="K11" s="84" t="s">
        <v>254</v>
      </c>
      <c r="L11" s="84" t="s">
        <v>254</v>
      </c>
      <c r="M11" s="84" t="s">
        <v>254</v>
      </c>
      <c r="N11" s="84" t="s">
        <v>254</v>
      </c>
      <c r="O11" s="84" t="s">
        <v>254</v>
      </c>
      <c r="P11" s="84" t="s">
        <v>254</v>
      </c>
      <c r="Q11" s="84" t="s">
        <v>254</v>
      </c>
      <c r="R11" s="84" t="s">
        <v>254</v>
      </c>
    </row>
    <row r="12" spans="1:22">
      <c r="B12" s="18" t="s">
        <v>470</v>
      </c>
      <c r="C12" s="18" t="s">
        <v>471</v>
      </c>
      <c r="D12" s="18" t="s">
        <v>480</v>
      </c>
      <c r="E12" s="18" t="s">
        <v>63</v>
      </c>
      <c r="F12" s="84" t="s">
        <v>254</v>
      </c>
      <c r="G12" s="84" t="s">
        <v>254</v>
      </c>
      <c r="H12" s="84" t="s">
        <v>254</v>
      </c>
      <c r="I12" s="84" t="s">
        <v>254</v>
      </c>
      <c r="J12" s="84" t="s">
        <v>254</v>
      </c>
      <c r="K12" s="84" t="s">
        <v>254</v>
      </c>
      <c r="L12" s="84" t="s">
        <v>254</v>
      </c>
      <c r="M12" s="84" t="s">
        <v>254</v>
      </c>
      <c r="N12" s="84" t="s">
        <v>254</v>
      </c>
      <c r="O12" s="84" t="s">
        <v>254</v>
      </c>
      <c r="P12" s="84" t="s">
        <v>254</v>
      </c>
      <c r="Q12" s="84" t="s">
        <v>254</v>
      </c>
      <c r="R12" s="84" t="s">
        <v>254</v>
      </c>
    </row>
    <row r="13" spans="1:22">
      <c r="A13" s="18" t="s">
        <v>481</v>
      </c>
      <c r="B13" s="18" t="s">
        <v>477</v>
      </c>
      <c r="C13" s="18" t="s">
        <v>464</v>
      </c>
      <c r="D13" s="18" t="s">
        <v>482</v>
      </c>
      <c r="E13" s="18" t="s">
        <v>63</v>
      </c>
      <c r="F13" s="18">
        <v>5.56</v>
      </c>
      <c r="G13" s="18">
        <v>38.6</v>
      </c>
      <c r="H13" s="18">
        <v>126.74</v>
      </c>
      <c r="I13" s="18">
        <v>133.97999999999999</v>
      </c>
      <c r="J13" s="18">
        <v>2</v>
      </c>
      <c r="K13" s="18">
        <v>2</v>
      </c>
      <c r="L13" s="18" t="s">
        <v>466</v>
      </c>
      <c r="M13" s="18">
        <v>5.21</v>
      </c>
      <c r="N13" s="18">
        <v>55.3</v>
      </c>
      <c r="O13" s="18">
        <v>136.41999999999999</v>
      </c>
      <c r="P13" s="18">
        <v>141.22</v>
      </c>
      <c r="Q13" s="18">
        <v>2</v>
      </c>
      <c r="R13" s="18">
        <v>2</v>
      </c>
    </row>
    <row r="14" spans="1:22">
      <c r="B14" s="18" t="s">
        <v>470</v>
      </c>
      <c r="C14" s="18" t="s">
        <v>471</v>
      </c>
      <c r="D14" s="18" t="s">
        <v>482</v>
      </c>
      <c r="E14" s="18" t="s">
        <v>63</v>
      </c>
      <c r="F14" s="18">
        <v>1</v>
      </c>
      <c r="G14" s="18">
        <v>0.01</v>
      </c>
      <c r="H14" s="18">
        <v>0</v>
      </c>
      <c r="I14" s="18">
        <v>0</v>
      </c>
      <c r="J14" s="18">
        <v>3</v>
      </c>
      <c r="K14" s="18">
        <v>3</v>
      </c>
      <c r="L14" s="18" t="s">
        <v>466</v>
      </c>
      <c r="M14" s="18">
        <v>0</v>
      </c>
      <c r="N14" s="18">
        <v>0</v>
      </c>
      <c r="O14" s="18">
        <v>0</v>
      </c>
      <c r="P14" s="18">
        <v>0</v>
      </c>
      <c r="Q14" s="18">
        <v>3</v>
      </c>
      <c r="R14" s="18">
        <v>3</v>
      </c>
    </row>
    <row r="15" spans="1:22">
      <c r="A15" s="18" t="s">
        <v>483</v>
      </c>
      <c r="B15" s="18" t="s">
        <v>484</v>
      </c>
      <c r="C15" s="18" t="s">
        <v>464</v>
      </c>
      <c r="D15" s="18" t="s">
        <v>485</v>
      </c>
      <c r="E15" s="18" t="s">
        <v>63</v>
      </c>
      <c r="F15" s="18">
        <v>32.229999999999997</v>
      </c>
      <c r="G15" s="18">
        <v>64</v>
      </c>
      <c r="H15" s="18">
        <v>131.79</v>
      </c>
      <c r="I15" s="18">
        <v>155.71</v>
      </c>
      <c r="J15" s="18">
        <v>3</v>
      </c>
      <c r="K15" s="18">
        <v>3</v>
      </c>
      <c r="L15" s="18" t="s">
        <v>466</v>
      </c>
      <c r="M15" s="18">
        <v>21.25</v>
      </c>
      <c r="N15" s="18">
        <v>42.6</v>
      </c>
      <c r="O15" s="18">
        <v>147.28</v>
      </c>
      <c r="P15" s="18">
        <v>155.71</v>
      </c>
      <c r="Q15" s="18">
        <v>3</v>
      </c>
      <c r="R15" s="18">
        <v>3</v>
      </c>
    </row>
    <row r="16" spans="1:22">
      <c r="B16" s="18" t="s">
        <v>486</v>
      </c>
      <c r="C16" s="18" t="s">
        <v>464</v>
      </c>
      <c r="D16" s="18" t="s">
        <v>485</v>
      </c>
      <c r="E16" s="18" t="s">
        <v>63</v>
      </c>
      <c r="F16" s="18">
        <v>37.56</v>
      </c>
      <c r="G16" s="18">
        <v>41.6</v>
      </c>
      <c r="H16" s="18">
        <v>156.57</v>
      </c>
      <c r="I16" s="18">
        <v>159.33000000000001</v>
      </c>
      <c r="J16" s="18">
        <v>3</v>
      </c>
      <c r="K16" s="18">
        <v>3</v>
      </c>
      <c r="L16" s="18" t="s">
        <v>466</v>
      </c>
      <c r="M16" s="86">
        <v>13.58</v>
      </c>
      <c r="N16" s="18">
        <v>34.6</v>
      </c>
      <c r="O16" s="18">
        <v>158.31</v>
      </c>
      <c r="P16" s="18">
        <v>166.57</v>
      </c>
      <c r="Q16" s="18">
        <v>3</v>
      </c>
      <c r="R16" s="18">
        <v>3</v>
      </c>
    </row>
    <row r="17" spans="1:18">
      <c r="B17" s="18" t="s">
        <v>487</v>
      </c>
      <c r="C17" s="18" t="s">
        <v>464</v>
      </c>
      <c r="D17" s="18" t="s">
        <v>485</v>
      </c>
      <c r="E17" s="18" t="s">
        <v>63</v>
      </c>
      <c r="F17" s="18">
        <v>18.239999999999998</v>
      </c>
      <c r="G17" s="18">
        <v>112</v>
      </c>
      <c r="H17" s="18">
        <v>144.69</v>
      </c>
      <c r="I17" s="18">
        <v>152.09</v>
      </c>
      <c r="J17" s="18">
        <v>3</v>
      </c>
      <c r="K17" s="18">
        <v>3</v>
      </c>
      <c r="L17" s="18" t="s">
        <v>466</v>
      </c>
      <c r="M17" s="18">
        <v>24.93</v>
      </c>
      <c r="N17" s="18">
        <v>46.3</v>
      </c>
      <c r="O17" s="18">
        <v>159.79</v>
      </c>
      <c r="P17" s="18">
        <v>166.57</v>
      </c>
      <c r="Q17" s="18">
        <v>3</v>
      </c>
      <c r="R17" s="18">
        <v>3</v>
      </c>
    </row>
    <row r="18" spans="1:18">
      <c r="B18" s="18" t="s">
        <v>488</v>
      </c>
      <c r="C18" s="18" t="s">
        <v>464</v>
      </c>
      <c r="D18" s="18" t="s">
        <v>485</v>
      </c>
      <c r="E18" s="18" t="s">
        <v>63</v>
      </c>
      <c r="F18" s="18">
        <v>45.29</v>
      </c>
      <c r="G18" s="18">
        <v>120</v>
      </c>
      <c r="H18" s="18">
        <v>192.33</v>
      </c>
      <c r="I18" s="18">
        <v>246.24</v>
      </c>
      <c r="J18" s="18">
        <v>15</v>
      </c>
      <c r="K18" s="18">
        <v>15</v>
      </c>
      <c r="L18" s="18" t="s">
        <v>466</v>
      </c>
      <c r="M18" s="86">
        <v>41.98</v>
      </c>
      <c r="N18" s="18">
        <v>135</v>
      </c>
      <c r="O18" s="18">
        <v>205.12</v>
      </c>
      <c r="P18" s="18">
        <v>228.13</v>
      </c>
      <c r="Q18" s="18">
        <v>15</v>
      </c>
      <c r="R18" s="18">
        <v>15</v>
      </c>
    </row>
    <row r="19" spans="1:18">
      <c r="B19" s="18" t="s">
        <v>489</v>
      </c>
      <c r="C19" s="18" t="s">
        <v>464</v>
      </c>
      <c r="D19" s="18" t="s">
        <v>485</v>
      </c>
      <c r="E19" s="18" t="s">
        <v>63</v>
      </c>
      <c r="F19" s="18">
        <v>16.2</v>
      </c>
      <c r="G19" s="18">
        <v>28.3</v>
      </c>
      <c r="H19" s="18">
        <v>141.41</v>
      </c>
      <c r="I19" s="18">
        <v>148.47</v>
      </c>
      <c r="J19" s="18">
        <v>5</v>
      </c>
      <c r="K19" s="18">
        <v>5</v>
      </c>
      <c r="L19" s="18" t="s">
        <v>466</v>
      </c>
      <c r="M19" s="86">
        <v>37.700000000000003</v>
      </c>
      <c r="N19" s="18">
        <v>57.3</v>
      </c>
      <c r="O19" s="18">
        <v>207.9</v>
      </c>
      <c r="P19" s="18">
        <v>231.75</v>
      </c>
      <c r="Q19" s="18">
        <v>5</v>
      </c>
      <c r="R19" s="18">
        <v>5</v>
      </c>
    </row>
    <row r="20" spans="1:18">
      <c r="B20" s="18" t="s">
        <v>470</v>
      </c>
      <c r="C20" s="18" t="s">
        <v>471</v>
      </c>
      <c r="D20" s="18" t="s">
        <v>485</v>
      </c>
      <c r="E20" s="18" t="s">
        <v>63</v>
      </c>
      <c r="F20" s="18">
        <v>6.2</v>
      </c>
      <c r="G20" s="18">
        <v>28</v>
      </c>
      <c r="H20" s="18">
        <v>120.19</v>
      </c>
      <c r="I20" s="18">
        <v>123.12</v>
      </c>
      <c r="J20" s="86">
        <v>3</v>
      </c>
      <c r="K20" s="86">
        <v>3</v>
      </c>
      <c r="L20" s="18" t="s">
        <v>466</v>
      </c>
      <c r="M20" s="86">
        <v>29.05</v>
      </c>
      <c r="N20" s="18">
        <v>48.6</v>
      </c>
      <c r="O20" s="18">
        <v>150.82</v>
      </c>
      <c r="P20" s="18">
        <v>177.44</v>
      </c>
      <c r="Q20" s="86">
        <v>3</v>
      </c>
      <c r="R20" s="86">
        <v>3</v>
      </c>
    </row>
    <row r="21" spans="1:18">
      <c r="A21" s="18" t="s">
        <v>490</v>
      </c>
      <c r="B21" s="18" t="s">
        <v>491</v>
      </c>
      <c r="C21" s="18" t="s">
        <v>464</v>
      </c>
      <c r="D21" s="85" t="s">
        <v>492</v>
      </c>
      <c r="E21" s="18" t="s">
        <v>63</v>
      </c>
      <c r="F21" s="18">
        <v>0.55000000000000004</v>
      </c>
      <c r="G21" s="18">
        <v>6.1</v>
      </c>
      <c r="H21" s="18">
        <v>173.65</v>
      </c>
      <c r="I21" s="18">
        <v>193.31</v>
      </c>
      <c r="J21" s="18">
        <v>3</v>
      </c>
      <c r="K21" s="18">
        <v>3</v>
      </c>
      <c r="L21" s="18" t="s">
        <v>475</v>
      </c>
      <c r="M21" s="18">
        <v>0.04</v>
      </c>
      <c r="N21" s="18">
        <v>2</v>
      </c>
      <c r="O21" s="18">
        <v>65.180000000000007</v>
      </c>
      <c r="P21" s="18">
        <v>130.36000000000001</v>
      </c>
      <c r="Q21" s="18">
        <v>3</v>
      </c>
      <c r="R21" s="18">
        <v>3</v>
      </c>
    </row>
    <row r="22" spans="1:18">
      <c r="B22" s="18" t="s">
        <v>491</v>
      </c>
      <c r="C22" s="18" t="s">
        <v>464</v>
      </c>
      <c r="D22" s="18" t="s">
        <v>492</v>
      </c>
      <c r="E22" s="18" t="s">
        <v>63</v>
      </c>
      <c r="F22" s="18">
        <v>23.59</v>
      </c>
      <c r="G22" s="18">
        <v>58</v>
      </c>
      <c r="H22" s="18">
        <v>209.45</v>
      </c>
      <c r="I22" s="18">
        <v>293.43</v>
      </c>
      <c r="J22" s="18">
        <v>7</v>
      </c>
      <c r="K22" s="18">
        <v>8</v>
      </c>
      <c r="L22" s="18" t="s">
        <v>475</v>
      </c>
      <c r="M22" s="18">
        <v>17.420000000000002</v>
      </c>
      <c r="N22" s="18">
        <v>67</v>
      </c>
      <c r="O22" s="18">
        <v>190.69</v>
      </c>
      <c r="P22" s="18">
        <v>253.48</v>
      </c>
      <c r="Q22" s="18">
        <v>5</v>
      </c>
      <c r="R22" s="18">
        <v>7</v>
      </c>
    </row>
    <row r="23" spans="1:18">
      <c r="B23" s="18" t="s">
        <v>470</v>
      </c>
      <c r="C23" s="18" t="s">
        <v>471</v>
      </c>
      <c r="D23" s="18" t="s">
        <v>492</v>
      </c>
      <c r="E23" s="18" t="s">
        <v>63</v>
      </c>
      <c r="F23" s="18">
        <v>2.08</v>
      </c>
      <c r="G23" s="18">
        <v>4.8899999999999997</v>
      </c>
      <c r="H23" s="18">
        <v>201.91</v>
      </c>
      <c r="I23" s="18">
        <v>216.12</v>
      </c>
      <c r="J23" s="18">
        <v>4</v>
      </c>
      <c r="K23" s="18">
        <v>5</v>
      </c>
      <c r="L23" s="18" t="s">
        <v>475</v>
      </c>
      <c r="M23" s="18">
        <v>1.99</v>
      </c>
      <c r="N23" s="18">
        <v>3.3</v>
      </c>
      <c r="O23" s="18">
        <v>177.65</v>
      </c>
      <c r="P23" s="18">
        <v>184.68</v>
      </c>
      <c r="Q23" s="18">
        <v>3</v>
      </c>
      <c r="R23" s="18">
        <v>6</v>
      </c>
    </row>
    <row r="24" spans="1:18">
      <c r="A24" s="18" t="s">
        <v>493</v>
      </c>
      <c r="B24" s="18" t="s">
        <v>488</v>
      </c>
      <c r="C24" s="18" t="s">
        <v>464</v>
      </c>
      <c r="D24" s="18" t="s">
        <v>494</v>
      </c>
      <c r="E24" s="18" t="s">
        <v>63</v>
      </c>
      <c r="F24" s="18">
        <v>7.34</v>
      </c>
      <c r="G24" s="18">
        <v>22</v>
      </c>
      <c r="H24" s="18">
        <v>96.01</v>
      </c>
      <c r="I24" s="18">
        <v>102</v>
      </c>
      <c r="J24" s="18">
        <v>3</v>
      </c>
      <c r="K24" s="18">
        <v>7</v>
      </c>
      <c r="L24" s="18" t="s">
        <v>466</v>
      </c>
      <c r="M24" s="18">
        <v>11.61</v>
      </c>
      <c r="N24" s="18">
        <v>29.3</v>
      </c>
      <c r="O24" s="18">
        <v>94.83</v>
      </c>
      <c r="P24" s="18">
        <v>101.39</v>
      </c>
      <c r="Q24" s="18">
        <v>4</v>
      </c>
      <c r="R24" s="18">
        <v>6</v>
      </c>
    </row>
    <row r="25" spans="1:18">
      <c r="B25" s="18" t="s">
        <v>495</v>
      </c>
      <c r="C25" s="18" t="s">
        <v>464</v>
      </c>
      <c r="D25" s="18" t="s">
        <v>494</v>
      </c>
      <c r="E25" s="18" t="s">
        <v>63</v>
      </c>
      <c r="F25" s="18">
        <v>0</v>
      </c>
      <c r="G25" s="18">
        <v>0</v>
      </c>
      <c r="H25" s="18">
        <v>0</v>
      </c>
      <c r="I25" s="18">
        <v>0</v>
      </c>
      <c r="J25" s="18">
        <v>2</v>
      </c>
      <c r="K25" s="18">
        <v>2</v>
      </c>
      <c r="L25" s="18" t="s">
        <v>466</v>
      </c>
      <c r="M25" s="18">
        <v>2.64</v>
      </c>
      <c r="N25" s="18">
        <v>3.2</v>
      </c>
      <c r="O25" s="18">
        <v>83.29</v>
      </c>
      <c r="P25" s="18">
        <v>83.29</v>
      </c>
      <c r="Q25" s="18">
        <v>2</v>
      </c>
      <c r="R25" s="18">
        <v>2</v>
      </c>
    </row>
    <row r="26" spans="1:18">
      <c r="B26" s="18" t="s">
        <v>470</v>
      </c>
      <c r="C26" s="18" t="s">
        <v>471</v>
      </c>
      <c r="D26" s="18" t="s">
        <v>494</v>
      </c>
      <c r="E26" s="18" t="s">
        <v>63</v>
      </c>
      <c r="F26" s="18">
        <v>0</v>
      </c>
      <c r="G26" s="18">
        <v>0</v>
      </c>
      <c r="H26" s="18">
        <v>0</v>
      </c>
      <c r="I26" s="18">
        <v>0</v>
      </c>
      <c r="J26" s="18">
        <v>3</v>
      </c>
      <c r="K26" s="18">
        <v>3</v>
      </c>
      <c r="M26" s="18">
        <v>0</v>
      </c>
      <c r="N26" s="18">
        <v>0</v>
      </c>
      <c r="O26" s="18">
        <v>0</v>
      </c>
      <c r="P26" s="18">
        <v>0</v>
      </c>
      <c r="Q26" s="18">
        <v>3</v>
      </c>
      <c r="R26" s="18">
        <v>3</v>
      </c>
    </row>
    <row r="27" spans="1:18">
      <c r="A27" s="18" t="s">
        <v>441</v>
      </c>
      <c r="B27" s="18" t="s">
        <v>477</v>
      </c>
      <c r="C27" s="18" t="s">
        <v>464</v>
      </c>
      <c r="D27" s="84" t="s">
        <v>496</v>
      </c>
      <c r="E27" s="18" t="s">
        <v>63</v>
      </c>
      <c r="F27" s="84" t="s">
        <v>254</v>
      </c>
      <c r="G27" s="84" t="s">
        <v>254</v>
      </c>
      <c r="H27" s="84" t="s">
        <v>254</v>
      </c>
      <c r="I27" s="84" t="s">
        <v>254</v>
      </c>
      <c r="J27" s="84" t="s">
        <v>254</v>
      </c>
      <c r="K27" s="84" t="s">
        <v>254</v>
      </c>
      <c r="L27" s="84" t="s">
        <v>254</v>
      </c>
      <c r="M27" s="84" t="s">
        <v>254</v>
      </c>
      <c r="N27" s="84" t="s">
        <v>254</v>
      </c>
      <c r="O27" s="84" t="s">
        <v>254</v>
      </c>
      <c r="P27" s="84" t="s">
        <v>254</v>
      </c>
      <c r="Q27" s="84" t="s">
        <v>254</v>
      </c>
      <c r="R27" s="84" t="s">
        <v>254</v>
      </c>
    </row>
    <row r="28" spans="1:18">
      <c r="B28" s="18" t="s">
        <v>470</v>
      </c>
      <c r="C28" s="18" t="s">
        <v>471</v>
      </c>
      <c r="D28" s="84" t="s">
        <v>496</v>
      </c>
      <c r="E28" s="18" t="s">
        <v>63</v>
      </c>
      <c r="F28" s="84" t="s">
        <v>254</v>
      </c>
      <c r="G28" s="84" t="s">
        <v>254</v>
      </c>
      <c r="H28" s="84" t="s">
        <v>254</v>
      </c>
      <c r="I28" s="84" t="s">
        <v>254</v>
      </c>
      <c r="J28" s="84" t="s">
        <v>254</v>
      </c>
      <c r="K28" s="84" t="s">
        <v>254</v>
      </c>
      <c r="L28" s="84" t="s">
        <v>254</v>
      </c>
      <c r="M28" s="84" t="s">
        <v>254</v>
      </c>
      <c r="N28" s="84" t="s">
        <v>254</v>
      </c>
      <c r="O28" s="84" t="s">
        <v>254</v>
      </c>
      <c r="P28" s="84" t="s">
        <v>254</v>
      </c>
      <c r="Q28" s="84" t="s">
        <v>254</v>
      </c>
      <c r="R28" s="84" t="s">
        <v>254</v>
      </c>
    </row>
    <row r="29" spans="1:18">
      <c r="A29" s="18" t="s">
        <v>497</v>
      </c>
      <c r="B29" s="18" t="s">
        <v>484</v>
      </c>
      <c r="C29" s="18" t="s">
        <v>464</v>
      </c>
      <c r="D29" s="18" t="s">
        <v>498</v>
      </c>
      <c r="E29" s="18" t="s">
        <v>63</v>
      </c>
      <c r="F29" s="18">
        <v>25.57</v>
      </c>
      <c r="G29" s="18">
        <v>102</v>
      </c>
      <c r="H29" s="18">
        <v>229.73</v>
      </c>
      <c r="I29" s="18">
        <v>246.24</v>
      </c>
      <c r="J29" s="18">
        <v>5</v>
      </c>
      <c r="K29" s="18">
        <v>9</v>
      </c>
      <c r="L29" s="18" t="s">
        <v>466</v>
      </c>
      <c r="M29" s="18">
        <v>19.170000000000002</v>
      </c>
      <c r="N29" s="18">
        <v>155</v>
      </c>
      <c r="O29" s="18">
        <v>233.83</v>
      </c>
      <c r="P29" s="18">
        <v>241</v>
      </c>
      <c r="Q29" s="18">
        <v>3</v>
      </c>
      <c r="R29" s="18">
        <v>4</v>
      </c>
    </row>
    <row r="30" spans="1:18">
      <c r="B30" s="18" t="s">
        <v>499</v>
      </c>
      <c r="C30" s="18" t="s">
        <v>464</v>
      </c>
      <c r="D30" s="18" t="s">
        <v>498</v>
      </c>
      <c r="E30" s="18" t="s">
        <v>63</v>
      </c>
      <c r="F30" s="18">
        <v>18.96</v>
      </c>
      <c r="G30" s="18">
        <v>88.3</v>
      </c>
      <c r="H30" s="18">
        <v>179.62</v>
      </c>
      <c r="I30" s="18">
        <v>188.3</v>
      </c>
      <c r="J30" s="18">
        <v>3</v>
      </c>
      <c r="K30" s="18">
        <v>3</v>
      </c>
      <c r="L30" s="18" t="s">
        <v>466</v>
      </c>
      <c r="M30" s="18">
        <v>18.61</v>
      </c>
      <c r="N30" s="18">
        <v>99</v>
      </c>
      <c r="O30" s="18">
        <v>177.21</v>
      </c>
      <c r="P30" s="18">
        <v>182</v>
      </c>
      <c r="Q30" s="18">
        <v>3</v>
      </c>
      <c r="R30" s="18">
        <v>5</v>
      </c>
    </row>
    <row r="31" spans="1:18">
      <c r="B31" s="18" t="s">
        <v>500</v>
      </c>
      <c r="C31" s="18" t="s">
        <v>471</v>
      </c>
      <c r="D31" s="18" t="s">
        <v>498</v>
      </c>
      <c r="E31" s="18" t="s">
        <v>63</v>
      </c>
      <c r="F31" s="18">
        <v>11.95</v>
      </c>
      <c r="G31" s="18">
        <v>21</v>
      </c>
      <c r="H31" s="18">
        <v>176.29</v>
      </c>
      <c r="I31" s="18">
        <v>181.06</v>
      </c>
      <c r="J31" s="18">
        <v>3</v>
      </c>
      <c r="K31" s="18">
        <v>3</v>
      </c>
      <c r="L31" s="18" t="s">
        <v>466</v>
      </c>
      <c r="M31" s="18">
        <v>11.45</v>
      </c>
      <c r="N31" s="18">
        <v>29.6</v>
      </c>
      <c r="O31" s="18">
        <v>171.53</v>
      </c>
      <c r="P31" s="18">
        <v>183</v>
      </c>
      <c r="Q31" s="18">
        <v>2</v>
      </c>
      <c r="R31" s="18">
        <v>3</v>
      </c>
    </row>
    <row r="32" spans="1:18">
      <c r="B32" s="18" t="s">
        <v>501</v>
      </c>
      <c r="C32" s="18" t="s">
        <v>464</v>
      </c>
      <c r="D32" s="18" t="s">
        <v>498</v>
      </c>
      <c r="E32" s="18" t="s">
        <v>63</v>
      </c>
      <c r="F32" s="18">
        <v>31.63</v>
      </c>
      <c r="G32" s="18">
        <v>118</v>
      </c>
      <c r="H32" s="18">
        <v>188.17</v>
      </c>
      <c r="I32" s="18">
        <v>206.41</v>
      </c>
      <c r="J32" s="18">
        <v>3</v>
      </c>
      <c r="K32" s="18">
        <v>3</v>
      </c>
      <c r="L32" s="18" t="s">
        <v>466</v>
      </c>
      <c r="M32" s="18">
        <v>37.299999999999997</v>
      </c>
      <c r="N32" s="18">
        <v>91.3</v>
      </c>
      <c r="O32" s="18">
        <v>189.8</v>
      </c>
      <c r="P32" s="18">
        <v>196</v>
      </c>
      <c r="Q32" s="18">
        <v>3</v>
      </c>
      <c r="R32" s="18">
        <v>3</v>
      </c>
    </row>
    <row r="33" spans="1:18">
      <c r="B33" s="18" t="s">
        <v>502</v>
      </c>
      <c r="C33" s="18" t="s">
        <v>464</v>
      </c>
      <c r="D33" s="18" t="s">
        <v>498</v>
      </c>
      <c r="E33" s="18" t="s">
        <v>63</v>
      </c>
      <c r="F33" s="18">
        <v>7.0000000000000007E-2</v>
      </c>
      <c r="G33" s="18">
        <v>2</v>
      </c>
      <c r="H33" s="18">
        <v>114.67</v>
      </c>
      <c r="I33" s="18">
        <v>137.6</v>
      </c>
      <c r="J33" s="18">
        <v>3</v>
      </c>
      <c r="K33" s="18">
        <v>3</v>
      </c>
      <c r="L33" s="18" t="s">
        <v>466</v>
      </c>
      <c r="M33" s="18">
        <v>0.05</v>
      </c>
      <c r="N33" s="18">
        <v>4.3</v>
      </c>
      <c r="O33" s="18">
        <v>186.5</v>
      </c>
      <c r="P33" s="18">
        <v>187</v>
      </c>
      <c r="Q33" s="18">
        <v>3</v>
      </c>
      <c r="R33" s="18">
        <v>4</v>
      </c>
    </row>
    <row r="34" spans="1:18">
      <c r="B34" s="18" t="s">
        <v>503</v>
      </c>
      <c r="C34" s="18" t="s">
        <v>464</v>
      </c>
      <c r="D34" s="18" t="s">
        <v>498</v>
      </c>
      <c r="E34" s="18" t="s">
        <v>63</v>
      </c>
      <c r="F34" s="18">
        <v>0.28999999999999998</v>
      </c>
      <c r="G34" s="18">
        <v>3</v>
      </c>
      <c r="H34" s="18">
        <v>166.44</v>
      </c>
      <c r="I34" s="18">
        <v>173.81</v>
      </c>
      <c r="J34" s="18">
        <v>2</v>
      </c>
      <c r="K34" s="18">
        <v>2</v>
      </c>
      <c r="L34" s="18" t="s">
        <v>466</v>
      </c>
      <c r="M34" s="18">
        <v>0.32</v>
      </c>
      <c r="N34" s="18">
        <v>9.6</v>
      </c>
      <c r="O34" s="18">
        <v>199.18</v>
      </c>
      <c r="P34" s="18">
        <v>202</v>
      </c>
      <c r="Q34" s="18">
        <v>3</v>
      </c>
      <c r="R34" s="18">
        <v>3</v>
      </c>
    </row>
    <row r="35" spans="1:18">
      <c r="B35" s="18" t="s">
        <v>470</v>
      </c>
      <c r="C35" s="18" t="s">
        <v>471</v>
      </c>
      <c r="D35" s="18" t="s">
        <v>498</v>
      </c>
      <c r="E35" s="18" t="s">
        <v>63</v>
      </c>
      <c r="F35" s="18">
        <v>0.02</v>
      </c>
      <c r="G35" s="18">
        <v>2</v>
      </c>
      <c r="H35" s="18">
        <v>0</v>
      </c>
      <c r="I35" s="18">
        <v>0</v>
      </c>
      <c r="J35" s="18">
        <v>3</v>
      </c>
      <c r="K35" s="18">
        <v>3</v>
      </c>
      <c r="L35" s="18" t="s">
        <v>466</v>
      </c>
      <c r="M35" s="18">
        <v>0</v>
      </c>
      <c r="N35" s="18">
        <v>0</v>
      </c>
      <c r="O35" s="18">
        <v>0</v>
      </c>
      <c r="P35" s="18">
        <v>0</v>
      </c>
      <c r="Q35" s="18">
        <v>3</v>
      </c>
      <c r="R35" s="18">
        <v>3</v>
      </c>
    </row>
    <row r="36" spans="1:18" ht="14" customHeight="1">
      <c r="A36" s="18" t="s">
        <v>504</v>
      </c>
      <c r="B36" s="18" t="s">
        <v>505</v>
      </c>
      <c r="C36" s="18" t="s">
        <v>464</v>
      </c>
      <c r="D36" s="18" t="s">
        <v>506</v>
      </c>
      <c r="E36" s="18" t="s">
        <v>63</v>
      </c>
      <c r="F36" s="18">
        <v>39.29</v>
      </c>
      <c r="G36" s="18">
        <v>52.44</v>
      </c>
      <c r="H36" s="18">
        <v>155.91999999999999</v>
      </c>
      <c r="I36" s="18">
        <v>211.16</v>
      </c>
      <c r="J36" s="18">
        <v>7</v>
      </c>
      <c r="K36" s="18">
        <v>9</v>
      </c>
      <c r="L36" s="18" t="s">
        <v>475</v>
      </c>
      <c r="M36" s="18">
        <v>40.19</v>
      </c>
      <c r="N36" s="18">
        <v>49.24</v>
      </c>
      <c r="O36" s="18">
        <v>150.02000000000001</v>
      </c>
      <c r="P36" s="18">
        <v>208.16</v>
      </c>
      <c r="Q36" s="18">
        <v>8</v>
      </c>
      <c r="R36" s="18">
        <v>10</v>
      </c>
    </row>
    <row r="37" spans="1:18">
      <c r="B37" s="18" t="s">
        <v>507</v>
      </c>
      <c r="C37" s="18" t="s">
        <v>464</v>
      </c>
      <c r="D37" s="18" t="s">
        <v>506</v>
      </c>
      <c r="E37" s="18" t="s">
        <v>63</v>
      </c>
      <c r="F37" s="84" t="s">
        <v>254</v>
      </c>
      <c r="G37" s="84" t="s">
        <v>254</v>
      </c>
      <c r="H37" s="84" t="s">
        <v>254</v>
      </c>
      <c r="I37" s="84" t="s">
        <v>254</v>
      </c>
      <c r="J37" s="84" t="s">
        <v>254</v>
      </c>
      <c r="K37" s="84" t="s">
        <v>254</v>
      </c>
      <c r="L37" s="84" t="s">
        <v>254</v>
      </c>
      <c r="M37" s="84" t="s">
        <v>254</v>
      </c>
      <c r="N37" s="84" t="s">
        <v>254</v>
      </c>
      <c r="O37" s="84" t="s">
        <v>254</v>
      </c>
      <c r="P37" s="84" t="s">
        <v>254</v>
      </c>
      <c r="Q37" s="84" t="s">
        <v>254</v>
      </c>
      <c r="R37" s="84" t="s">
        <v>254</v>
      </c>
    </row>
    <row r="38" spans="1:18">
      <c r="B38" s="18" t="s">
        <v>508</v>
      </c>
      <c r="C38" s="18" t="s">
        <v>464</v>
      </c>
      <c r="D38" s="18" t="s">
        <v>506</v>
      </c>
      <c r="E38" s="18" t="s">
        <v>63</v>
      </c>
      <c r="F38" s="84" t="s">
        <v>254</v>
      </c>
      <c r="G38" s="84" t="s">
        <v>254</v>
      </c>
      <c r="H38" s="84" t="s">
        <v>254</v>
      </c>
      <c r="I38" s="84" t="s">
        <v>254</v>
      </c>
      <c r="J38" s="84" t="s">
        <v>254</v>
      </c>
      <c r="K38" s="84" t="s">
        <v>254</v>
      </c>
      <c r="L38" s="84" t="s">
        <v>254</v>
      </c>
      <c r="M38" s="84" t="s">
        <v>254</v>
      </c>
      <c r="N38" s="84" t="s">
        <v>254</v>
      </c>
      <c r="O38" s="84" t="s">
        <v>254</v>
      </c>
      <c r="P38" s="84" t="s">
        <v>254</v>
      </c>
      <c r="Q38" s="84" t="s">
        <v>254</v>
      </c>
      <c r="R38" s="84" t="s">
        <v>254</v>
      </c>
    </row>
    <row r="39" spans="1:18">
      <c r="B39" s="18" t="s">
        <v>509</v>
      </c>
      <c r="C39" s="18" t="s">
        <v>464</v>
      </c>
      <c r="D39" s="18" t="s">
        <v>506</v>
      </c>
      <c r="E39" s="18" t="s">
        <v>63</v>
      </c>
      <c r="F39" s="84" t="s">
        <v>254</v>
      </c>
      <c r="G39" s="84" t="s">
        <v>254</v>
      </c>
      <c r="H39" s="84" t="s">
        <v>254</v>
      </c>
      <c r="I39" s="84" t="s">
        <v>254</v>
      </c>
      <c r="J39" s="84" t="s">
        <v>254</v>
      </c>
      <c r="K39" s="84" t="s">
        <v>254</v>
      </c>
      <c r="L39" s="84" t="s">
        <v>254</v>
      </c>
      <c r="M39" s="84" t="s">
        <v>254</v>
      </c>
      <c r="N39" s="84" t="s">
        <v>254</v>
      </c>
      <c r="O39" s="84" t="s">
        <v>254</v>
      </c>
      <c r="P39" s="84" t="s">
        <v>254</v>
      </c>
      <c r="Q39" s="84" t="s">
        <v>254</v>
      </c>
      <c r="R39" s="84" t="s">
        <v>254</v>
      </c>
    </row>
    <row r="40" spans="1:18">
      <c r="A40" s="18" t="s">
        <v>510</v>
      </c>
      <c r="B40" s="18" t="s">
        <v>511</v>
      </c>
      <c r="C40" s="18" t="s">
        <v>471</v>
      </c>
      <c r="D40" s="18" t="s">
        <v>512</v>
      </c>
      <c r="E40" s="18" t="s">
        <v>63</v>
      </c>
      <c r="F40" s="18">
        <v>0</v>
      </c>
      <c r="G40" s="18">
        <v>0</v>
      </c>
      <c r="H40" s="18">
        <v>0</v>
      </c>
      <c r="I40" s="18">
        <v>0</v>
      </c>
      <c r="J40" s="18">
        <v>4</v>
      </c>
      <c r="K40" s="18">
        <v>5</v>
      </c>
      <c r="L40" s="18" t="s">
        <v>475</v>
      </c>
      <c r="M40" s="18">
        <v>0.02</v>
      </c>
      <c r="N40" s="18">
        <v>2</v>
      </c>
      <c r="O40" s="18">
        <v>0</v>
      </c>
      <c r="P40" s="18">
        <v>0</v>
      </c>
      <c r="Q40" s="18">
        <v>4</v>
      </c>
      <c r="R40" s="18">
        <v>4</v>
      </c>
    </row>
    <row r="41" spans="1:18">
      <c r="B41" s="18" t="s">
        <v>513</v>
      </c>
      <c r="C41" s="18" t="s">
        <v>464</v>
      </c>
      <c r="D41" s="18" t="s">
        <v>512</v>
      </c>
      <c r="E41" s="18" t="s">
        <v>63</v>
      </c>
      <c r="F41" s="18">
        <v>0.16</v>
      </c>
      <c r="G41" s="18">
        <v>11.3</v>
      </c>
      <c r="H41" s="18">
        <v>150.28</v>
      </c>
      <c r="I41" s="18">
        <v>159.33000000000001</v>
      </c>
      <c r="J41" s="18">
        <v>4</v>
      </c>
      <c r="K41" s="18">
        <v>4</v>
      </c>
      <c r="L41" s="18" t="s">
        <v>475</v>
      </c>
      <c r="M41" s="18">
        <v>0</v>
      </c>
      <c r="N41" s="18">
        <v>0</v>
      </c>
      <c r="O41" s="18">
        <v>0</v>
      </c>
      <c r="P41" s="18">
        <v>0</v>
      </c>
      <c r="Q41" s="18">
        <v>3</v>
      </c>
      <c r="R41" s="18">
        <v>3</v>
      </c>
    </row>
    <row r="42" spans="1:18">
      <c r="B42" s="18" t="s">
        <v>514</v>
      </c>
      <c r="C42" s="18" t="s">
        <v>464</v>
      </c>
      <c r="D42" s="18" t="s">
        <v>512</v>
      </c>
      <c r="E42" s="18" t="s">
        <v>63</v>
      </c>
      <c r="F42" s="18">
        <v>2.92</v>
      </c>
      <c r="G42" s="18">
        <v>21.6</v>
      </c>
      <c r="H42" s="18">
        <v>163.12</v>
      </c>
      <c r="I42" s="18">
        <v>179</v>
      </c>
      <c r="J42" s="18">
        <v>6</v>
      </c>
      <c r="K42" s="18">
        <v>12</v>
      </c>
      <c r="L42" s="18" t="s">
        <v>475</v>
      </c>
      <c r="M42" s="18">
        <v>2.11</v>
      </c>
      <c r="N42" s="18">
        <v>31.6</v>
      </c>
      <c r="O42" s="18">
        <v>145.72</v>
      </c>
      <c r="P42" s="18">
        <v>159.33000000000001</v>
      </c>
      <c r="Q42" s="18">
        <v>8</v>
      </c>
      <c r="R42" s="18">
        <v>8</v>
      </c>
    </row>
    <row r="43" spans="1:18">
      <c r="A43" s="18" t="s">
        <v>515</v>
      </c>
      <c r="B43" s="18" t="s">
        <v>516</v>
      </c>
      <c r="C43" s="18" t="s">
        <v>464</v>
      </c>
      <c r="D43" s="18" t="s">
        <v>517</v>
      </c>
      <c r="E43" s="18" t="s">
        <v>63</v>
      </c>
      <c r="F43" s="18">
        <v>7.74</v>
      </c>
      <c r="G43" s="18">
        <v>16.100000000000001</v>
      </c>
      <c r="H43" s="18">
        <v>268</v>
      </c>
      <c r="I43" s="18">
        <v>270</v>
      </c>
      <c r="J43" s="18">
        <v>3</v>
      </c>
      <c r="K43" s="18">
        <v>4</v>
      </c>
      <c r="L43" s="18" t="s">
        <v>475</v>
      </c>
      <c r="M43" s="18">
        <v>9.67</v>
      </c>
      <c r="N43" s="18">
        <v>25</v>
      </c>
      <c r="O43" s="18">
        <v>283</v>
      </c>
      <c r="P43" s="18">
        <v>285</v>
      </c>
      <c r="Q43" s="18">
        <v>6</v>
      </c>
      <c r="R43" s="18">
        <v>8</v>
      </c>
    </row>
    <row r="44" spans="1:18">
      <c r="B44" s="18" t="s">
        <v>518</v>
      </c>
      <c r="C44" s="18" t="s">
        <v>471</v>
      </c>
      <c r="D44" s="18" t="s">
        <v>517</v>
      </c>
      <c r="E44" s="18" t="s">
        <v>63</v>
      </c>
      <c r="F44" s="18">
        <v>7.72</v>
      </c>
      <c r="G44" s="18">
        <v>15.6</v>
      </c>
      <c r="H44" s="18">
        <v>243</v>
      </c>
      <c r="I44" s="18">
        <v>244</v>
      </c>
      <c r="J44" s="18">
        <v>3</v>
      </c>
      <c r="K44" s="18">
        <v>3</v>
      </c>
      <c r="L44" s="18" t="s">
        <v>475</v>
      </c>
      <c r="M44" s="18">
        <v>8.32</v>
      </c>
      <c r="N44" s="18">
        <v>50</v>
      </c>
      <c r="O44" s="18">
        <v>237</v>
      </c>
      <c r="P44" s="18">
        <v>239</v>
      </c>
      <c r="Q44" s="18">
        <v>3</v>
      </c>
      <c r="R44" s="18">
        <v>5</v>
      </c>
    </row>
    <row r="45" spans="1:18">
      <c r="B45" s="18" t="s">
        <v>519</v>
      </c>
      <c r="C45" s="18" t="s">
        <v>464</v>
      </c>
      <c r="D45" s="18" t="s">
        <v>517</v>
      </c>
      <c r="E45" s="18" t="s">
        <v>63</v>
      </c>
      <c r="F45" s="18">
        <v>57.82</v>
      </c>
      <c r="G45" s="18">
        <v>121</v>
      </c>
      <c r="H45" s="18">
        <v>313</v>
      </c>
      <c r="I45" s="18">
        <v>361</v>
      </c>
      <c r="J45" s="18">
        <v>3</v>
      </c>
      <c r="K45" s="18">
        <v>4</v>
      </c>
      <c r="L45" s="18" t="s">
        <v>475</v>
      </c>
      <c r="M45" s="18">
        <v>52.59</v>
      </c>
      <c r="N45" s="18">
        <v>89.1</v>
      </c>
      <c r="O45" s="18">
        <v>283</v>
      </c>
      <c r="P45" s="18">
        <v>301</v>
      </c>
      <c r="Q45" s="18">
        <v>5</v>
      </c>
      <c r="R45" s="18">
        <v>6</v>
      </c>
    </row>
    <row r="46" spans="1:18">
      <c r="B46" s="18" t="s">
        <v>520</v>
      </c>
      <c r="C46" s="18" t="s">
        <v>464</v>
      </c>
      <c r="D46" s="18" t="s">
        <v>517</v>
      </c>
      <c r="E46" s="18" t="s">
        <v>63</v>
      </c>
      <c r="F46" s="18">
        <v>43.22</v>
      </c>
      <c r="G46" s="18">
        <v>59.3</v>
      </c>
      <c r="H46" s="18">
        <v>313</v>
      </c>
      <c r="I46" s="18">
        <v>315</v>
      </c>
      <c r="J46" s="18">
        <v>2</v>
      </c>
      <c r="K46" s="18">
        <v>4</v>
      </c>
      <c r="L46" s="18" t="s">
        <v>475</v>
      </c>
      <c r="M46" s="18">
        <v>51.34</v>
      </c>
      <c r="N46" s="18">
        <v>87.5</v>
      </c>
      <c r="O46" s="18">
        <v>288</v>
      </c>
      <c r="P46" s="18">
        <v>299</v>
      </c>
      <c r="Q46" s="18">
        <v>6</v>
      </c>
      <c r="R46" s="18">
        <v>7</v>
      </c>
    </row>
    <row r="47" spans="1:18">
      <c r="B47" s="18" t="s">
        <v>521</v>
      </c>
      <c r="C47" s="18" t="s">
        <v>464</v>
      </c>
      <c r="D47" s="18" t="s">
        <v>517</v>
      </c>
      <c r="E47" s="18" t="s">
        <v>63</v>
      </c>
      <c r="F47" s="18">
        <v>52.16</v>
      </c>
      <c r="G47" s="18">
        <v>156</v>
      </c>
      <c r="H47" s="18">
        <v>336</v>
      </c>
      <c r="I47" s="18">
        <v>355</v>
      </c>
      <c r="J47" s="18">
        <v>3</v>
      </c>
      <c r="K47" s="18">
        <v>3</v>
      </c>
      <c r="L47" s="18" t="s">
        <v>475</v>
      </c>
      <c r="M47" s="18">
        <v>44.74</v>
      </c>
      <c r="N47" s="18">
        <v>103</v>
      </c>
      <c r="O47" s="18">
        <v>317</v>
      </c>
      <c r="P47" s="18">
        <v>333</v>
      </c>
      <c r="Q47" s="18">
        <v>6</v>
      </c>
      <c r="R47" s="18">
        <v>7</v>
      </c>
    </row>
    <row r="48" spans="1:18">
      <c r="B48" s="18" t="s">
        <v>522</v>
      </c>
      <c r="C48" s="18" t="s">
        <v>464</v>
      </c>
      <c r="D48" s="18" t="s">
        <v>517</v>
      </c>
      <c r="E48" s="18" t="s">
        <v>63</v>
      </c>
      <c r="F48" s="18">
        <v>33.15</v>
      </c>
      <c r="G48" s="18">
        <v>100</v>
      </c>
      <c r="H48" s="18">
        <v>353</v>
      </c>
      <c r="I48" s="18">
        <v>363</v>
      </c>
      <c r="J48" s="18">
        <v>4</v>
      </c>
      <c r="K48" s="18">
        <v>5</v>
      </c>
      <c r="L48" s="18" t="s">
        <v>475</v>
      </c>
      <c r="M48" s="18">
        <v>43.35</v>
      </c>
      <c r="N48" s="18">
        <v>153</v>
      </c>
      <c r="O48" s="18">
        <v>325</v>
      </c>
      <c r="P48" s="18">
        <v>336</v>
      </c>
      <c r="Q48" s="18">
        <v>6</v>
      </c>
      <c r="R48" s="18">
        <v>8</v>
      </c>
    </row>
    <row r="49" spans="1:18">
      <c r="B49" s="18" t="s">
        <v>523</v>
      </c>
      <c r="C49" s="18" t="s">
        <v>464</v>
      </c>
      <c r="D49" s="18" t="s">
        <v>517</v>
      </c>
      <c r="E49" s="18" t="s">
        <v>63</v>
      </c>
      <c r="F49" s="18">
        <v>57.4</v>
      </c>
      <c r="G49" s="18">
        <v>156</v>
      </c>
      <c r="H49" s="18">
        <v>380</v>
      </c>
      <c r="I49" s="18">
        <v>453</v>
      </c>
      <c r="J49" s="18">
        <v>4</v>
      </c>
      <c r="K49" s="18">
        <v>6</v>
      </c>
      <c r="L49" s="18" t="s">
        <v>475</v>
      </c>
      <c r="M49" s="18">
        <v>53.37</v>
      </c>
      <c r="N49" s="18">
        <v>151</v>
      </c>
      <c r="O49" s="18">
        <v>345</v>
      </c>
      <c r="P49" s="18">
        <v>390</v>
      </c>
      <c r="Q49" s="18">
        <v>6</v>
      </c>
      <c r="R49" s="18">
        <v>9</v>
      </c>
    </row>
    <row r="50" spans="1:18">
      <c r="B50" s="18" t="s">
        <v>524</v>
      </c>
      <c r="C50" s="18" t="s">
        <v>464</v>
      </c>
      <c r="D50" s="18" t="s">
        <v>517</v>
      </c>
      <c r="E50" s="18" t="s">
        <v>63</v>
      </c>
      <c r="F50" s="18">
        <v>44.1</v>
      </c>
      <c r="G50" s="18">
        <v>168</v>
      </c>
      <c r="H50" s="18">
        <v>455</v>
      </c>
      <c r="I50" s="18">
        <v>473</v>
      </c>
      <c r="J50" s="18">
        <v>3</v>
      </c>
      <c r="K50" s="18">
        <v>5</v>
      </c>
      <c r="L50" s="18" t="s">
        <v>475</v>
      </c>
      <c r="M50" s="18">
        <v>46.68</v>
      </c>
      <c r="N50" s="18">
        <v>156</v>
      </c>
      <c r="O50" s="18">
        <v>386</v>
      </c>
      <c r="P50" s="18">
        <v>400</v>
      </c>
      <c r="Q50" s="18">
        <v>19</v>
      </c>
      <c r="R50" s="18">
        <v>21</v>
      </c>
    </row>
    <row r="51" spans="1:18">
      <c r="B51" s="18" t="s">
        <v>525</v>
      </c>
      <c r="C51" s="18" t="s">
        <v>464</v>
      </c>
      <c r="D51" s="18" t="s">
        <v>517</v>
      </c>
      <c r="E51" s="18" t="s">
        <v>63</v>
      </c>
      <c r="F51" s="18">
        <v>50.67</v>
      </c>
      <c r="G51" s="18">
        <v>174</v>
      </c>
      <c r="H51" s="18">
        <v>489</v>
      </c>
      <c r="I51" s="18">
        <v>518</v>
      </c>
      <c r="J51" s="18">
        <v>4</v>
      </c>
      <c r="K51" s="18">
        <v>4</v>
      </c>
      <c r="L51" s="18" t="s">
        <v>475</v>
      </c>
      <c r="M51" s="18">
        <v>58.49</v>
      </c>
      <c r="N51" s="18">
        <v>152</v>
      </c>
      <c r="O51" s="18">
        <v>439</v>
      </c>
      <c r="P51" s="18">
        <v>469</v>
      </c>
      <c r="Q51" s="18">
        <v>10</v>
      </c>
      <c r="R51" s="18">
        <v>11</v>
      </c>
    </row>
    <row r="52" spans="1:18">
      <c r="B52" s="18" t="s">
        <v>526</v>
      </c>
      <c r="C52" s="18" t="s">
        <v>464</v>
      </c>
      <c r="D52" s="18" t="s">
        <v>517</v>
      </c>
      <c r="E52" s="18" t="s">
        <v>63</v>
      </c>
      <c r="F52" s="18">
        <v>25.94</v>
      </c>
      <c r="G52" s="18">
        <v>137</v>
      </c>
      <c r="H52" s="18">
        <v>461</v>
      </c>
      <c r="I52" s="18">
        <v>481</v>
      </c>
      <c r="J52" s="18">
        <v>3</v>
      </c>
      <c r="K52" s="18">
        <v>5</v>
      </c>
      <c r="L52" s="18" t="s">
        <v>475</v>
      </c>
      <c r="M52" s="18">
        <v>45.25</v>
      </c>
      <c r="N52" s="18">
        <v>148</v>
      </c>
      <c r="O52" s="18">
        <v>450</v>
      </c>
      <c r="P52" s="18">
        <v>460</v>
      </c>
      <c r="Q52" s="18">
        <v>10</v>
      </c>
      <c r="R52" s="18">
        <v>12</v>
      </c>
    </row>
    <row r="53" spans="1:18">
      <c r="A53" s="18" t="s">
        <v>527</v>
      </c>
      <c r="B53" s="18" t="s">
        <v>516</v>
      </c>
      <c r="C53" s="18" t="s">
        <v>464</v>
      </c>
      <c r="D53" s="18" t="s">
        <v>517</v>
      </c>
      <c r="E53" s="18" t="s">
        <v>63</v>
      </c>
      <c r="F53" s="84" t="s">
        <v>254</v>
      </c>
      <c r="G53" s="84" t="s">
        <v>254</v>
      </c>
      <c r="H53" s="84" t="s">
        <v>254</v>
      </c>
      <c r="I53" s="84" t="s">
        <v>254</v>
      </c>
      <c r="J53" s="84" t="s">
        <v>254</v>
      </c>
      <c r="K53" s="84" t="s">
        <v>254</v>
      </c>
      <c r="L53" s="84" t="s">
        <v>254</v>
      </c>
      <c r="M53" s="84" t="s">
        <v>254</v>
      </c>
      <c r="N53" s="84" t="s">
        <v>254</v>
      </c>
      <c r="O53" s="84" t="s">
        <v>254</v>
      </c>
      <c r="P53" s="84" t="s">
        <v>254</v>
      </c>
      <c r="Q53" s="84" t="s">
        <v>254</v>
      </c>
      <c r="R53" s="84" t="s">
        <v>254</v>
      </c>
    </row>
    <row r="54" spans="1:18">
      <c r="B54" s="18" t="s">
        <v>518</v>
      </c>
      <c r="C54" s="18" t="s">
        <v>471</v>
      </c>
      <c r="D54" s="18" t="s">
        <v>517</v>
      </c>
      <c r="E54" s="18" t="s">
        <v>63</v>
      </c>
      <c r="F54" s="84" t="s">
        <v>254</v>
      </c>
      <c r="G54" s="84" t="s">
        <v>254</v>
      </c>
      <c r="H54" s="84" t="s">
        <v>254</v>
      </c>
      <c r="I54" s="84" t="s">
        <v>254</v>
      </c>
      <c r="J54" s="84" t="s">
        <v>254</v>
      </c>
      <c r="K54" s="84" t="s">
        <v>254</v>
      </c>
      <c r="L54" s="84" t="s">
        <v>254</v>
      </c>
      <c r="M54" s="84" t="s">
        <v>254</v>
      </c>
      <c r="N54" s="84" t="s">
        <v>254</v>
      </c>
      <c r="O54" s="84" t="s">
        <v>254</v>
      </c>
      <c r="P54" s="84" t="s">
        <v>254</v>
      </c>
      <c r="Q54" s="84" t="s">
        <v>254</v>
      </c>
      <c r="R54" s="84" t="s">
        <v>254</v>
      </c>
    </row>
    <row r="55" spans="1:18">
      <c r="B55" s="18" t="s">
        <v>519</v>
      </c>
      <c r="C55" s="18" t="s">
        <v>464</v>
      </c>
      <c r="D55" s="18" t="s">
        <v>517</v>
      </c>
      <c r="E55" s="18" t="s">
        <v>63</v>
      </c>
      <c r="F55" s="84" t="s">
        <v>254</v>
      </c>
      <c r="G55" s="84" t="s">
        <v>254</v>
      </c>
      <c r="H55" s="84" t="s">
        <v>254</v>
      </c>
      <c r="I55" s="84" t="s">
        <v>254</v>
      </c>
      <c r="J55" s="84" t="s">
        <v>254</v>
      </c>
      <c r="K55" s="84" t="s">
        <v>254</v>
      </c>
      <c r="L55" s="84" t="s">
        <v>254</v>
      </c>
      <c r="M55" s="84" t="s">
        <v>254</v>
      </c>
      <c r="N55" s="84" t="s">
        <v>254</v>
      </c>
      <c r="O55" s="84" t="s">
        <v>254</v>
      </c>
      <c r="P55" s="84" t="s">
        <v>254</v>
      </c>
      <c r="Q55" s="84" t="s">
        <v>254</v>
      </c>
      <c r="R55" s="84" t="s">
        <v>254</v>
      </c>
    </row>
    <row r="56" spans="1:18">
      <c r="B56" s="18" t="s">
        <v>520</v>
      </c>
      <c r="C56" s="18" t="s">
        <v>464</v>
      </c>
      <c r="D56" s="18" t="s">
        <v>517</v>
      </c>
      <c r="E56" s="18" t="s">
        <v>63</v>
      </c>
      <c r="F56" s="84" t="s">
        <v>254</v>
      </c>
      <c r="G56" s="84" t="s">
        <v>254</v>
      </c>
      <c r="H56" s="84" t="s">
        <v>254</v>
      </c>
      <c r="I56" s="84" t="s">
        <v>254</v>
      </c>
      <c r="J56" s="84" t="s">
        <v>254</v>
      </c>
      <c r="K56" s="84" t="s">
        <v>254</v>
      </c>
      <c r="L56" s="84" t="s">
        <v>254</v>
      </c>
      <c r="M56" s="84" t="s">
        <v>254</v>
      </c>
      <c r="N56" s="84" t="s">
        <v>254</v>
      </c>
      <c r="O56" s="84" t="s">
        <v>254</v>
      </c>
      <c r="P56" s="84" t="s">
        <v>254</v>
      </c>
      <c r="Q56" s="84" t="s">
        <v>254</v>
      </c>
      <c r="R56" s="84" t="s">
        <v>254</v>
      </c>
    </row>
    <row r="57" spans="1:18">
      <c r="B57" s="18" t="s">
        <v>521</v>
      </c>
      <c r="C57" s="18" t="s">
        <v>464</v>
      </c>
      <c r="D57" s="18" t="s">
        <v>517</v>
      </c>
      <c r="E57" s="18" t="s">
        <v>63</v>
      </c>
      <c r="F57" s="84" t="s">
        <v>254</v>
      </c>
      <c r="G57" s="84" t="s">
        <v>254</v>
      </c>
      <c r="H57" s="84" t="s">
        <v>254</v>
      </c>
      <c r="I57" s="84" t="s">
        <v>254</v>
      </c>
      <c r="J57" s="84" t="s">
        <v>254</v>
      </c>
      <c r="K57" s="84" t="s">
        <v>254</v>
      </c>
      <c r="L57" s="84" t="s">
        <v>254</v>
      </c>
      <c r="M57" s="84" t="s">
        <v>254</v>
      </c>
      <c r="N57" s="84" t="s">
        <v>254</v>
      </c>
      <c r="O57" s="84" t="s">
        <v>254</v>
      </c>
      <c r="P57" s="84" t="s">
        <v>254</v>
      </c>
      <c r="Q57" s="84" t="s">
        <v>254</v>
      </c>
      <c r="R57" s="84" t="s">
        <v>254</v>
      </c>
    </row>
    <row r="58" spans="1:18">
      <c r="B58" s="18" t="s">
        <v>522</v>
      </c>
      <c r="C58" s="18" t="s">
        <v>464</v>
      </c>
      <c r="D58" s="18" t="s">
        <v>517</v>
      </c>
      <c r="E58" s="18" t="s">
        <v>63</v>
      </c>
      <c r="F58" s="84" t="s">
        <v>254</v>
      </c>
      <c r="G58" s="84" t="s">
        <v>254</v>
      </c>
      <c r="H58" s="84" t="s">
        <v>254</v>
      </c>
      <c r="I58" s="84" t="s">
        <v>254</v>
      </c>
      <c r="J58" s="84" t="s">
        <v>254</v>
      </c>
      <c r="K58" s="84" t="s">
        <v>254</v>
      </c>
      <c r="L58" s="84" t="s">
        <v>254</v>
      </c>
      <c r="M58" s="84" t="s">
        <v>254</v>
      </c>
      <c r="N58" s="84" t="s">
        <v>254</v>
      </c>
      <c r="O58" s="84" t="s">
        <v>254</v>
      </c>
      <c r="P58" s="84" t="s">
        <v>254</v>
      </c>
      <c r="Q58" s="84" t="s">
        <v>254</v>
      </c>
      <c r="R58" s="84" t="s">
        <v>254</v>
      </c>
    </row>
    <row r="59" spans="1:18">
      <c r="B59" s="18" t="s">
        <v>523</v>
      </c>
      <c r="C59" s="18" t="s">
        <v>464</v>
      </c>
      <c r="D59" s="18" t="s">
        <v>517</v>
      </c>
      <c r="E59" s="18" t="s">
        <v>63</v>
      </c>
      <c r="F59" s="84" t="s">
        <v>254</v>
      </c>
      <c r="G59" s="84" t="s">
        <v>254</v>
      </c>
      <c r="H59" s="84" t="s">
        <v>254</v>
      </c>
      <c r="I59" s="84" t="s">
        <v>254</v>
      </c>
      <c r="J59" s="84" t="s">
        <v>254</v>
      </c>
      <c r="K59" s="84" t="s">
        <v>254</v>
      </c>
      <c r="L59" s="84" t="s">
        <v>254</v>
      </c>
      <c r="M59" s="84" t="s">
        <v>254</v>
      </c>
      <c r="N59" s="84" t="s">
        <v>254</v>
      </c>
      <c r="O59" s="84" t="s">
        <v>254</v>
      </c>
      <c r="P59" s="84" t="s">
        <v>254</v>
      </c>
      <c r="Q59" s="84" t="s">
        <v>254</v>
      </c>
      <c r="R59" s="84" t="s">
        <v>254</v>
      </c>
    </row>
    <row r="60" spans="1:18">
      <c r="B60" s="18" t="s">
        <v>528</v>
      </c>
      <c r="C60" s="18" t="s">
        <v>471</v>
      </c>
      <c r="D60" s="18" t="s">
        <v>517</v>
      </c>
      <c r="E60" s="18" t="s">
        <v>63</v>
      </c>
      <c r="F60" s="84" t="s">
        <v>254</v>
      </c>
      <c r="G60" s="84" t="s">
        <v>254</v>
      </c>
      <c r="H60" s="84" t="s">
        <v>254</v>
      </c>
      <c r="I60" s="84" t="s">
        <v>254</v>
      </c>
      <c r="J60" s="84" t="s">
        <v>254</v>
      </c>
      <c r="K60" s="84" t="s">
        <v>254</v>
      </c>
      <c r="L60" s="84" t="s">
        <v>254</v>
      </c>
      <c r="M60" s="84" t="s">
        <v>254</v>
      </c>
      <c r="N60" s="84" t="s">
        <v>254</v>
      </c>
      <c r="O60" s="84" t="s">
        <v>254</v>
      </c>
      <c r="P60" s="84" t="s">
        <v>254</v>
      </c>
      <c r="Q60" s="84" t="s">
        <v>254</v>
      </c>
      <c r="R60" s="84" t="s">
        <v>254</v>
      </c>
    </row>
    <row r="61" spans="1:18">
      <c r="B61" s="18" t="s">
        <v>524</v>
      </c>
      <c r="C61" s="18" t="s">
        <v>464</v>
      </c>
      <c r="D61" s="18" t="s">
        <v>517</v>
      </c>
      <c r="E61" s="18" t="s">
        <v>63</v>
      </c>
      <c r="F61" s="84" t="s">
        <v>254</v>
      </c>
      <c r="G61" s="84" t="s">
        <v>254</v>
      </c>
      <c r="H61" s="84" t="s">
        <v>254</v>
      </c>
      <c r="I61" s="84" t="s">
        <v>254</v>
      </c>
      <c r="J61" s="84" t="s">
        <v>254</v>
      </c>
      <c r="K61" s="84" t="s">
        <v>254</v>
      </c>
      <c r="L61" s="84" t="s">
        <v>254</v>
      </c>
      <c r="M61" s="84" t="s">
        <v>254</v>
      </c>
      <c r="N61" s="84" t="s">
        <v>254</v>
      </c>
      <c r="O61" s="84" t="s">
        <v>254</v>
      </c>
      <c r="P61" s="84" t="s">
        <v>254</v>
      </c>
      <c r="Q61" s="84" t="s">
        <v>254</v>
      </c>
      <c r="R61" s="84" t="s">
        <v>254</v>
      </c>
    </row>
    <row r="62" spans="1:18">
      <c r="B62" s="18" t="s">
        <v>525</v>
      </c>
      <c r="C62" s="18" t="s">
        <v>464</v>
      </c>
      <c r="D62" s="18" t="s">
        <v>517</v>
      </c>
      <c r="E62" s="18" t="s">
        <v>63</v>
      </c>
      <c r="F62" s="84" t="s">
        <v>254</v>
      </c>
      <c r="G62" s="84" t="s">
        <v>254</v>
      </c>
      <c r="H62" s="84" t="s">
        <v>254</v>
      </c>
      <c r="I62" s="84" t="s">
        <v>254</v>
      </c>
      <c r="J62" s="84" t="s">
        <v>254</v>
      </c>
      <c r="K62" s="84" t="s">
        <v>254</v>
      </c>
      <c r="L62" s="84" t="s">
        <v>254</v>
      </c>
      <c r="M62" s="84" t="s">
        <v>254</v>
      </c>
      <c r="N62" s="84" t="s">
        <v>254</v>
      </c>
      <c r="O62" s="84" t="s">
        <v>254</v>
      </c>
      <c r="P62" s="84" t="s">
        <v>254</v>
      </c>
      <c r="Q62" s="84" t="s">
        <v>254</v>
      </c>
      <c r="R62" s="84" t="s">
        <v>254</v>
      </c>
    </row>
    <row r="63" spans="1:18">
      <c r="B63" s="18" t="s">
        <v>526</v>
      </c>
      <c r="C63" s="18" t="s">
        <v>464</v>
      </c>
      <c r="D63" s="18" t="s">
        <v>517</v>
      </c>
      <c r="E63" s="18" t="s">
        <v>63</v>
      </c>
      <c r="F63" s="84" t="s">
        <v>254</v>
      </c>
      <c r="G63" s="84" t="s">
        <v>254</v>
      </c>
      <c r="H63" s="84" t="s">
        <v>254</v>
      </c>
      <c r="I63" s="84" t="s">
        <v>254</v>
      </c>
      <c r="J63" s="84" t="s">
        <v>254</v>
      </c>
      <c r="K63" s="84" t="s">
        <v>254</v>
      </c>
      <c r="L63" s="84" t="s">
        <v>254</v>
      </c>
      <c r="M63" s="84" t="s">
        <v>254</v>
      </c>
      <c r="N63" s="84" t="s">
        <v>254</v>
      </c>
      <c r="O63" s="84" t="s">
        <v>254</v>
      </c>
      <c r="P63" s="84" t="s">
        <v>254</v>
      </c>
      <c r="Q63" s="84" t="s">
        <v>254</v>
      </c>
      <c r="R63" s="84" t="s">
        <v>254</v>
      </c>
    </row>
    <row r="64" spans="1:18">
      <c r="A64" s="18" t="s">
        <v>529</v>
      </c>
      <c r="B64" s="18" t="s">
        <v>530</v>
      </c>
      <c r="C64" s="18" t="s">
        <v>464</v>
      </c>
      <c r="D64" s="18" t="s">
        <v>517</v>
      </c>
      <c r="E64" s="18" t="s">
        <v>63</v>
      </c>
      <c r="F64" s="84" t="s">
        <v>254</v>
      </c>
      <c r="G64" s="84" t="s">
        <v>254</v>
      </c>
      <c r="H64" s="84" t="s">
        <v>254</v>
      </c>
      <c r="I64" s="84" t="s">
        <v>254</v>
      </c>
      <c r="J64" s="84" t="s">
        <v>254</v>
      </c>
      <c r="K64" s="84" t="s">
        <v>254</v>
      </c>
      <c r="L64" s="84" t="s">
        <v>254</v>
      </c>
      <c r="M64" s="84" t="s">
        <v>254</v>
      </c>
      <c r="N64" s="84" t="s">
        <v>254</v>
      </c>
      <c r="O64" s="84" t="s">
        <v>254</v>
      </c>
      <c r="P64" s="84" t="s">
        <v>254</v>
      </c>
      <c r="Q64" s="84" t="s">
        <v>254</v>
      </c>
      <c r="R64" s="84" t="s">
        <v>254</v>
      </c>
    </row>
    <row r="65" spans="1:18">
      <c r="B65" s="18" t="s">
        <v>531</v>
      </c>
      <c r="C65" s="18" t="s">
        <v>464</v>
      </c>
      <c r="D65" s="18" t="s">
        <v>517</v>
      </c>
      <c r="E65" s="18" t="s">
        <v>63</v>
      </c>
      <c r="F65" s="84" t="s">
        <v>254</v>
      </c>
      <c r="G65" s="84" t="s">
        <v>254</v>
      </c>
      <c r="H65" s="84" t="s">
        <v>254</v>
      </c>
      <c r="I65" s="84" t="s">
        <v>254</v>
      </c>
      <c r="J65" s="84" t="s">
        <v>254</v>
      </c>
      <c r="K65" s="84" t="s">
        <v>254</v>
      </c>
      <c r="L65" s="84" t="s">
        <v>254</v>
      </c>
      <c r="M65" s="84" t="s">
        <v>254</v>
      </c>
      <c r="N65" s="84" t="s">
        <v>254</v>
      </c>
      <c r="O65" s="84" t="s">
        <v>254</v>
      </c>
      <c r="P65" s="84" t="s">
        <v>254</v>
      </c>
      <c r="Q65" s="84" t="s">
        <v>254</v>
      </c>
      <c r="R65" s="84" t="s">
        <v>254</v>
      </c>
    </row>
    <row r="66" spans="1:18">
      <c r="B66" s="18" t="s">
        <v>532</v>
      </c>
      <c r="C66" s="18" t="s">
        <v>464</v>
      </c>
      <c r="D66" s="18" t="s">
        <v>517</v>
      </c>
      <c r="E66" s="18" t="s">
        <v>63</v>
      </c>
      <c r="F66" s="84" t="s">
        <v>254</v>
      </c>
      <c r="G66" s="84" t="s">
        <v>254</v>
      </c>
      <c r="H66" s="84" t="s">
        <v>254</v>
      </c>
      <c r="I66" s="84" t="s">
        <v>254</v>
      </c>
      <c r="J66" s="84" t="s">
        <v>254</v>
      </c>
      <c r="K66" s="84" t="s">
        <v>254</v>
      </c>
      <c r="L66" s="84" t="s">
        <v>254</v>
      </c>
      <c r="M66" s="84" t="s">
        <v>254</v>
      </c>
      <c r="N66" s="84" t="s">
        <v>254</v>
      </c>
      <c r="O66" s="84" t="s">
        <v>254</v>
      </c>
      <c r="P66" s="84" t="s">
        <v>254</v>
      </c>
      <c r="Q66" s="84" t="s">
        <v>254</v>
      </c>
      <c r="R66" s="84" t="s">
        <v>254</v>
      </c>
    </row>
    <row r="67" spans="1:18">
      <c r="B67" s="18" t="s">
        <v>533</v>
      </c>
      <c r="C67" s="18" t="s">
        <v>464</v>
      </c>
      <c r="D67" s="18" t="s">
        <v>517</v>
      </c>
      <c r="E67" s="18" t="s">
        <v>63</v>
      </c>
      <c r="F67" s="84" t="s">
        <v>254</v>
      </c>
      <c r="G67" s="84" t="s">
        <v>254</v>
      </c>
      <c r="H67" s="84" t="s">
        <v>254</v>
      </c>
      <c r="I67" s="84" t="s">
        <v>254</v>
      </c>
      <c r="J67" s="84" t="s">
        <v>254</v>
      </c>
      <c r="K67" s="84" t="s">
        <v>254</v>
      </c>
      <c r="L67" s="84" t="s">
        <v>254</v>
      </c>
      <c r="M67" s="84" t="s">
        <v>254</v>
      </c>
      <c r="N67" s="84" t="s">
        <v>254</v>
      </c>
      <c r="O67" s="84" t="s">
        <v>254</v>
      </c>
      <c r="P67" s="84" t="s">
        <v>254</v>
      </c>
      <c r="Q67" s="84" t="s">
        <v>254</v>
      </c>
      <c r="R67" s="84" t="s">
        <v>254</v>
      </c>
    </row>
    <row r="68" spans="1:18">
      <c r="A68" s="18" t="s">
        <v>534</v>
      </c>
      <c r="B68" s="18" t="s">
        <v>530</v>
      </c>
      <c r="C68" s="18" t="s">
        <v>464</v>
      </c>
      <c r="D68" s="18" t="s">
        <v>517</v>
      </c>
      <c r="E68" s="18" t="s">
        <v>63</v>
      </c>
      <c r="F68" s="84" t="s">
        <v>254</v>
      </c>
      <c r="G68" s="84" t="s">
        <v>254</v>
      </c>
      <c r="H68" s="84" t="s">
        <v>254</v>
      </c>
      <c r="I68" s="84" t="s">
        <v>254</v>
      </c>
      <c r="J68" s="84" t="s">
        <v>254</v>
      </c>
      <c r="K68" s="84" t="s">
        <v>254</v>
      </c>
      <c r="L68" s="84" t="s">
        <v>254</v>
      </c>
      <c r="M68" s="84" t="s">
        <v>254</v>
      </c>
      <c r="N68" s="84" t="s">
        <v>254</v>
      </c>
      <c r="O68" s="84" t="s">
        <v>254</v>
      </c>
      <c r="P68" s="84" t="s">
        <v>254</v>
      </c>
      <c r="Q68" s="84" t="s">
        <v>254</v>
      </c>
      <c r="R68" s="84" t="s">
        <v>254</v>
      </c>
    </row>
    <row r="69" spans="1:18">
      <c r="B69" s="18" t="s">
        <v>535</v>
      </c>
      <c r="C69" s="18" t="s">
        <v>471</v>
      </c>
      <c r="D69" s="18" t="s">
        <v>517</v>
      </c>
      <c r="E69" s="18" t="s">
        <v>63</v>
      </c>
      <c r="F69" s="84" t="s">
        <v>254</v>
      </c>
      <c r="G69" s="84" t="s">
        <v>254</v>
      </c>
      <c r="H69" s="84" t="s">
        <v>254</v>
      </c>
      <c r="I69" s="84" t="s">
        <v>254</v>
      </c>
      <c r="J69" s="84" t="s">
        <v>254</v>
      </c>
      <c r="K69" s="84" t="s">
        <v>254</v>
      </c>
      <c r="L69" s="84" t="s">
        <v>254</v>
      </c>
      <c r="M69" s="84" t="s">
        <v>254</v>
      </c>
      <c r="N69" s="84" t="s">
        <v>254</v>
      </c>
      <c r="O69" s="84" t="s">
        <v>254</v>
      </c>
      <c r="P69" s="84" t="s">
        <v>254</v>
      </c>
      <c r="Q69" s="84" t="s">
        <v>254</v>
      </c>
      <c r="R69" s="84" t="s">
        <v>254</v>
      </c>
    </row>
    <row r="70" spans="1:18">
      <c r="B70" s="18" t="s">
        <v>531</v>
      </c>
      <c r="C70" s="18" t="s">
        <v>464</v>
      </c>
      <c r="D70" s="18" t="s">
        <v>517</v>
      </c>
      <c r="E70" s="18" t="s">
        <v>63</v>
      </c>
      <c r="F70" s="84" t="s">
        <v>254</v>
      </c>
      <c r="G70" s="84" t="s">
        <v>254</v>
      </c>
      <c r="H70" s="84" t="s">
        <v>254</v>
      </c>
      <c r="I70" s="84" t="s">
        <v>254</v>
      </c>
      <c r="J70" s="84" t="s">
        <v>254</v>
      </c>
      <c r="K70" s="84" t="s">
        <v>254</v>
      </c>
      <c r="L70" s="84" t="s">
        <v>254</v>
      </c>
      <c r="M70" s="84" t="s">
        <v>254</v>
      </c>
      <c r="N70" s="84" t="s">
        <v>254</v>
      </c>
      <c r="O70" s="84" t="s">
        <v>254</v>
      </c>
      <c r="P70" s="84" t="s">
        <v>254</v>
      </c>
      <c r="Q70" s="84" t="s">
        <v>254</v>
      </c>
      <c r="R70" s="84" t="s">
        <v>254</v>
      </c>
    </row>
    <row r="71" spans="1:18">
      <c r="B71" s="18" t="s">
        <v>532</v>
      </c>
      <c r="C71" s="18" t="s">
        <v>464</v>
      </c>
      <c r="D71" s="18" t="s">
        <v>517</v>
      </c>
      <c r="E71" s="18" t="s">
        <v>63</v>
      </c>
      <c r="F71" s="84" t="s">
        <v>254</v>
      </c>
      <c r="G71" s="84" t="s">
        <v>254</v>
      </c>
      <c r="H71" s="84" t="s">
        <v>254</v>
      </c>
      <c r="I71" s="84" t="s">
        <v>254</v>
      </c>
      <c r="J71" s="84" t="s">
        <v>254</v>
      </c>
      <c r="K71" s="84" t="s">
        <v>254</v>
      </c>
      <c r="L71" s="84" t="s">
        <v>254</v>
      </c>
      <c r="M71" s="84" t="s">
        <v>254</v>
      </c>
      <c r="N71" s="84" t="s">
        <v>254</v>
      </c>
      <c r="O71" s="84" t="s">
        <v>254</v>
      </c>
      <c r="P71" s="84" t="s">
        <v>254</v>
      </c>
      <c r="Q71" s="84" t="s">
        <v>254</v>
      </c>
      <c r="R71" s="84" t="s">
        <v>254</v>
      </c>
    </row>
    <row r="72" spans="1:18">
      <c r="B72" s="18" t="s">
        <v>533</v>
      </c>
      <c r="C72" s="18" t="s">
        <v>464</v>
      </c>
      <c r="D72" s="18" t="s">
        <v>517</v>
      </c>
      <c r="E72" s="18" t="s">
        <v>63</v>
      </c>
      <c r="F72" s="84" t="s">
        <v>254</v>
      </c>
      <c r="G72" s="84" t="s">
        <v>254</v>
      </c>
      <c r="H72" s="84" t="s">
        <v>254</v>
      </c>
      <c r="I72" s="84" t="s">
        <v>254</v>
      </c>
      <c r="J72" s="84" t="s">
        <v>254</v>
      </c>
      <c r="K72" s="84" t="s">
        <v>254</v>
      </c>
      <c r="L72" s="84" t="s">
        <v>254</v>
      </c>
      <c r="M72" s="84" t="s">
        <v>254</v>
      </c>
      <c r="N72" s="84" t="s">
        <v>254</v>
      </c>
      <c r="O72" s="84" t="s">
        <v>254</v>
      </c>
      <c r="P72" s="84" t="s">
        <v>254</v>
      </c>
      <c r="Q72" s="84" t="s">
        <v>254</v>
      </c>
      <c r="R72" s="84" t="s">
        <v>254</v>
      </c>
    </row>
    <row r="73" spans="1:18">
      <c r="A73" s="18" t="s">
        <v>536</v>
      </c>
      <c r="B73" s="18" t="s">
        <v>537</v>
      </c>
      <c r="C73" s="18" t="s">
        <v>464</v>
      </c>
      <c r="D73" s="18" t="s">
        <v>538</v>
      </c>
      <c r="E73" s="18" t="s">
        <v>63</v>
      </c>
      <c r="F73" s="18">
        <v>3.13</v>
      </c>
      <c r="G73" s="18">
        <v>20</v>
      </c>
      <c r="H73" s="18">
        <v>93.3</v>
      </c>
      <c r="I73" s="18">
        <v>97.77</v>
      </c>
      <c r="J73" s="18">
        <v>4.3</v>
      </c>
      <c r="K73" s="18">
        <v>5</v>
      </c>
      <c r="L73" s="18" t="s">
        <v>466</v>
      </c>
      <c r="M73" s="18">
        <v>7.14</v>
      </c>
      <c r="N73" s="18">
        <v>29.3</v>
      </c>
      <c r="O73" s="18">
        <v>102.15</v>
      </c>
      <c r="P73" s="18">
        <v>107</v>
      </c>
      <c r="Q73" s="18">
        <v>3</v>
      </c>
      <c r="R73" s="18">
        <v>4</v>
      </c>
    </row>
    <row r="74" spans="1:18">
      <c r="A74" s="18" t="s">
        <v>539</v>
      </c>
      <c r="B74" s="18" t="s">
        <v>477</v>
      </c>
      <c r="C74" s="18" t="s">
        <v>464</v>
      </c>
      <c r="D74" s="18" t="s">
        <v>540</v>
      </c>
      <c r="E74" s="18" t="s">
        <v>63</v>
      </c>
      <c r="F74" s="18">
        <v>7.11</v>
      </c>
      <c r="G74" s="18">
        <v>30.8</v>
      </c>
      <c r="H74" s="18">
        <v>150.87</v>
      </c>
      <c r="I74" s="18">
        <v>227</v>
      </c>
      <c r="J74" s="18">
        <v>4</v>
      </c>
      <c r="K74" s="18">
        <v>5</v>
      </c>
      <c r="L74" s="18" t="s">
        <v>475</v>
      </c>
      <c r="M74" s="18">
        <v>8</v>
      </c>
      <c r="N74" s="18">
        <v>70.3</v>
      </c>
      <c r="O74" s="18">
        <v>156.65</v>
      </c>
      <c r="P74" s="18">
        <v>219.11</v>
      </c>
      <c r="Q74" s="18">
        <v>4</v>
      </c>
      <c r="R74" s="18">
        <v>4</v>
      </c>
    </row>
    <row r="75" spans="1:18">
      <c r="A75" s="18" t="s">
        <v>541</v>
      </c>
      <c r="B75" s="18" t="s">
        <v>511</v>
      </c>
      <c r="C75" s="18" t="s">
        <v>471</v>
      </c>
      <c r="D75" s="84" t="s">
        <v>542</v>
      </c>
      <c r="E75" s="18" t="s">
        <v>63</v>
      </c>
      <c r="F75" s="18">
        <v>3.73</v>
      </c>
      <c r="G75" s="18">
        <v>5</v>
      </c>
      <c r="H75" s="18">
        <v>79.3</v>
      </c>
      <c r="I75" s="18">
        <v>101.39</v>
      </c>
      <c r="J75" s="18">
        <v>3</v>
      </c>
      <c r="K75" s="18">
        <v>3</v>
      </c>
      <c r="L75" s="18" t="s">
        <v>475</v>
      </c>
      <c r="M75" s="18">
        <v>3.66</v>
      </c>
      <c r="N75" s="18">
        <v>6.3</v>
      </c>
      <c r="O75" s="18">
        <v>95.32</v>
      </c>
      <c r="P75" s="18">
        <v>109</v>
      </c>
      <c r="Q75" s="18">
        <v>3</v>
      </c>
      <c r="R75" s="18">
        <v>4</v>
      </c>
    </row>
    <row r="76" spans="1:18">
      <c r="B76" s="18" t="s">
        <v>513</v>
      </c>
      <c r="C76" s="18" t="s">
        <v>464</v>
      </c>
      <c r="D76" s="84" t="s">
        <v>542</v>
      </c>
      <c r="E76" s="18" t="s">
        <v>63</v>
      </c>
      <c r="F76" s="18">
        <v>4.74</v>
      </c>
      <c r="G76" s="18">
        <v>32.6</v>
      </c>
      <c r="H76" s="18">
        <v>108.23</v>
      </c>
      <c r="I76" s="18">
        <v>112.26</v>
      </c>
      <c r="J76" s="18">
        <v>2</v>
      </c>
      <c r="K76" s="18">
        <v>2</v>
      </c>
      <c r="L76" s="18" t="s">
        <v>475</v>
      </c>
      <c r="M76" s="18">
        <v>4.33</v>
      </c>
      <c r="N76" s="18">
        <v>6</v>
      </c>
      <c r="O76" s="18">
        <v>109.17</v>
      </c>
      <c r="P76" s="18">
        <v>111</v>
      </c>
      <c r="Q76" s="18">
        <v>3</v>
      </c>
      <c r="R76" s="18">
        <v>3</v>
      </c>
    </row>
    <row r="77" spans="1:18">
      <c r="B77" s="18" t="s">
        <v>514</v>
      </c>
      <c r="C77" s="18" t="s">
        <v>464</v>
      </c>
      <c r="D77" s="84" t="s">
        <v>543</v>
      </c>
      <c r="E77" s="18" t="s">
        <v>63</v>
      </c>
      <c r="F77" s="18">
        <v>19.3</v>
      </c>
      <c r="G77" s="18">
        <v>56.3</v>
      </c>
      <c r="H77" s="18">
        <v>188.3</v>
      </c>
      <c r="I77" s="18">
        <v>148.06</v>
      </c>
      <c r="J77" s="18">
        <v>6.7</v>
      </c>
      <c r="K77" s="18">
        <v>8</v>
      </c>
      <c r="L77" s="18" t="s">
        <v>475</v>
      </c>
      <c r="M77" s="18">
        <v>20.29</v>
      </c>
      <c r="N77" s="18">
        <v>121</v>
      </c>
      <c r="O77" s="18">
        <v>139.84</v>
      </c>
      <c r="P77" s="18">
        <v>198</v>
      </c>
      <c r="Q77" s="18">
        <v>4</v>
      </c>
      <c r="R77" s="18">
        <v>7</v>
      </c>
    </row>
    <row r="78" spans="1:18">
      <c r="A78" s="18" t="s">
        <v>439</v>
      </c>
      <c r="B78" s="18" t="s">
        <v>511</v>
      </c>
      <c r="C78" s="18" t="s">
        <v>471</v>
      </c>
      <c r="D78" s="84" t="s">
        <v>544</v>
      </c>
      <c r="E78" s="18" t="s">
        <v>63</v>
      </c>
      <c r="F78" s="18">
        <v>3.6</v>
      </c>
      <c r="G78" s="18">
        <v>5.6</v>
      </c>
      <c r="H78" s="18">
        <v>112.38</v>
      </c>
      <c r="I78" s="18">
        <v>142</v>
      </c>
      <c r="J78" s="18">
        <v>2</v>
      </c>
      <c r="K78" s="18">
        <v>3</v>
      </c>
      <c r="L78" s="18" t="s">
        <v>475</v>
      </c>
      <c r="M78" s="18">
        <v>3.15</v>
      </c>
      <c r="N78" s="18">
        <v>4.3</v>
      </c>
      <c r="O78" s="18">
        <v>101.05</v>
      </c>
      <c r="P78" s="18">
        <v>127</v>
      </c>
      <c r="Q78" s="18">
        <v>3</v>
      </c>
      <c r="R78" s="18">
        <v>5</v>
      </c>
    </row>
    <row r="79" spans="1:18">
      <c r="B79" s="18" t="s">
        <v>513</v>
      </c>
      <c r="C79" s="18" t="s">
        <v>464</v>
      </c>
      <c r="D79" s="84" t="s">
        <v>544</v>
      </c>
      <c r="E79" s="18" t="s">
        <v>63</v>
      </c>
      <c r="F79" s="18">
        <v>4.3</v>
      </c>
      <c r="G79" s="18">
        <v>4.33</v>
      </c>
      <c r="H79" s="18">
        <v>127.99</v>
      </c>
      <c r="I79" s="18">
        <v>141</v>
      </c>
      <c r="J79" s="18">
        <v>3</v>
      </c>
      <c r="K79" s="18">
        <v>4</v>
      </c>
      <c r="L79" s="18" t="s">
        <v>475</v>
      </c>
      <c r="M79" s="18">
        <v>3.35</v>
      </c>
      <c r="N79" s="18">
        <v>4.3</v>
      </c>
      <c r="O79" s="18">
        <v>123.66</v>
      </c>
      <c r="P79" s="18">
        <v>126</v>
      </c>
      <c r="Q79" s="18">
        <v>3</v>
      </c>
      <c r="R79" s="18">
        <v>3</v>
      </c>
    </row>
    <row r="80" spans="1:18">
      <c r="B80" s="18" t="s">
        <v>514</v>
      </c>
      <c r="C80" s="18" t="s">
        <v>464</v>
      </c>
      <c r="D80" s="84" t="s">
        <v>544</v>
      </c>
      <c r="E80" s="18" t="s">
        <v>63</v>
      </c>
      <c r="F80" s="18">
        <v>6.58</v>
      </c>
      <c r="G80" s="18">
        <v>23</v>
      </c>
      <c r="H80" s="18">
        <v>151.30000000000001</v>
      </c>
      <c r="I80" s="18">
        <v>159</v>
      </c>
      <c r="J80" s="18">
        <v>4</v>
      </c>
      <c r="K80" s="18">
        <v>7</v>
      </c>
      <c r="L80" s="18" t="s">
        <v>475</v>
      </c>
      <c r="M80" s="18">
        <v>12.06</v>
      </c>
      <c r="N80" s="18">
        <v>49</v>
      </c>
      <c r="O80" s="18">
        <v>148.58000000000001</v>
      </c>
      <c r="P80" s="18">
        <v>165</v>
      </c>
      <c r="Q80" s="18">
        <v>3</v>
      </c>
      <c r="R80" s="18">
        <v>4</v>
      </c>
    </row>
    <row r="81" spans="1:18">
      <c r="A81" s="18" t="s">
        <v>436</v>
      </c>
      <c r="B81" s="18" t="s">
        <v>511</v>
      </c>
      <c r="C81" s="18" t="s">
        <v>471</v>
      </c>
      <c r="D81" s="84" t="s">
        <v>545</v>
      </c>
      <c r="E81" s="18" t="s">
        <v>63</v>
      </c>
      <c r="F81" s="18">
        <v>3.59</v>
      </c>
      <c r="G81" s="18">
        <v>5.6</v>
      </c>
      <c r="H81" s="18">
        <v>70.72</v>
      </c>
      <c r="I81" s="18">
        <v>71</v>
      </c>
      <c r="J81" s="18">
        <v>2</v>
      </c>
      <c r="K81" s="18">
        <v>3</v>
      </c>
      <c r="L81" s="18" t="s">
        <v>475</v>
      </c>
      <c r="M81" s="18">
        <v>3.26</v>
      </c>
      <c r="N81" s="18">
        <v>5</v>
      </c>
      <c r="O81" s="18">
        <v>86.22</v>
      </c>
      <c r="P81" s="18">
        <v>93</v>
      </c>
      <c r="Q81" s="18">
        <v>3</v>
      </c>
      <c r="R81" s="18">
        <v>3</v>
      </c>
    </row>
    <row r="82" spans="1:18">
      <c r="B82" s="18" t="s">
        <v>513</v>
      </c>
      <c r="C82" s="18" t="s">
        <v>464</v>
      </c>
      <c r="D82" s="84" t="s">
        <v>545</v>
      </c>
      <c r="E82" s="18" t="s">
        <v>63</v>
      </c>
      <c r="F82" s="18">
        <v>4.1900000000000004</v>
      </c>
      <c r="G82" s="18">
        <v>6</v>
      </c>
      <c r="H82" s="18">
        <v>75.010000000000005</v>
      </c>
      <c r="I82" s="18">
        <v>77</v>
      </c>
      <c r="J82" s="18">
        <v>3</v>
      </c>
      <c r="K82" s="18">
        <v>5</v>
      </c>
      <c r="L82" s="18" t="s">
        <v>475</v>
      </c>
      <c r="M82" s="18">
        <v>4.16</v>
      </c>
      <c r="N82" s="18">
        <v>6</v>
      </c>
      <c r="O82" s="18">
        <v>105.4</v>
      </c>
      <c r="P82" s="18">
        <v>108</v>
      </c>
      <c r="Q82" s="18">
        <v>5</v>
      </c>
      <c r="R82" s="18">
        <v>7</v>
      </c>
    </row>
    <row r="83" spans="1:18">
      <c r="B83" s="18" t="s">
        <v>514</v>
      </c>
      <c r="C83" s="18" t="s">
        <v>464</v>
      </c>
      <c r="D83" s="84" t="s">
        <v>545</v>
      </c>
      <c r="E83" s="18" t="s">
        <v>63</v>
      </c>
      <c r="F83" s="18">
        <v>19.57</v>
      </c>
      <c r="G83" s="18">
        <v>54.6</v>
      </c>
      <c r="H83" s="18">
        <v>120.29</v>
      </c>
      <c r="I83" s="18">
        <v>156</v>
      </c>
      <c r="J83" s="18">
        <v>7</v>
      </c>
      <c r="K83" s="18">
        <v>9</v>
      </c>
      <c r="L83" s="18" t="s">
        <v>475</v>
      </c>
      <c r="M83" s="18">
        <v>26.31</v>
      </c>
      <c r="N83" s="18">
        <v>74</v>
      </c>
      <c r="O83" s="18">
        <v>134.31</v>
      </c>
      <c r="P83" s="18">
        <v>160</v>
      </c>
      <c r="Q83" s="18">
        <v>5</v>
      </c>
      <c r="R83" s="18">
        <v>7</v>
      </c>
    </row>
    <row r="84" spans="1:18">
      <c r="A84" s="18" t="s">
        <v>546</v>
      </c>
      <c r="B84" s="18" t="s">
        <v>511</v>
      </c>
      <c r="C84" s="18" t="s">
        <v>471</v>
      </c>
      <c r="D84" s="84" t="s">
        <v>547</v>
      </c>
      <c r="E84" s="18" t="s">
        <v>63</v>
      </c>
      <c r="F84" s="18">
        <v>0</v>
      </c>
      <c r="G84" s="18">
        <v>0</v>
      </c>
      <c r="H84" s="18">
        <v>0</v>
      </c>
      <c r="I84" s="18">
        <v>0</v>
      </c>
      <c r="J84" s="18">
        <v>2</v>
      </c>
      <c r="K84" s="18">
        <v>2</v>
      </c>
      <c r="L84" s="18" t="s">
        <v>475</v>
      </c>
      <c r="M84" s="18">
        <v>2.64</v>
      </c>
      <c r="N84" s="18">
        <v>4</v>
      </c>
      <c r="O84" s="18">
        <v>66.11</v>
      </c>
      <c r="P84" s="18">
        <v>69</v>
      </c>
      <c r="Q84" s="18">
        <v>3</v>
      </c>
      <c r="R84" s="18">
        <v>3</v>
      </c>
    </row>
    <row r="85" spans="1:18">
      <c r="B85" s="18" t="s">
        <v>513</v>
      </c>
      <c r="C85" s="18" t="s">
        <v>464</v>
      </c>
      <c r="D85" s="84" t="s">
        <v>547</v>
      </c>
      <c r="E85" s="18" t="s">
        <v>63</v>
      </c>
      <c r="F85" s="18">
        <v>5.3</v>
      </c>
      <c r="G85" s="18">
        <v>3.62</v>
      </c>
      <c r="H85" s="18">
        <v>84.32</v>
      </c>
      <c r="I85" s="18">
        <v>85</v>
      </c>
      <c r="J85" s="18">
        <v>3</v>
      </c>
      <c r="K85" s="18">
        <v>5</v>
      </c>
      <c r="L85" s="18" t="s">
        <v>475</v>
      </c>
      <c r="M85" s="18">
        <v>3.05</v>
      </c>
      <c r="N85" s="18">
        <v>3.6</v>
      </c>
      <c r="O85" s="18">
        <v>68.16</v>
      </c>
      <c r="P85" s="18">
        <v>69</v>
      </c>
      <c r="Q85" s="18">
        <v>3</v>
      </c>
      <c r="R85" s="18">
        <v>3</v>
      </c>
    </row>
    <row r="86" spans="1:18">
      <c r="B86" s="18" t="s">
        <v>514</v>
      </c>
      <c r="C86" s="18" t="s">
        <v>464</v>
      </c>
      <c r="D86" s="84" t="s">
        <v>547</v>
      </c>
      <c r="E86" s="18" t="s">
        <v>63</v>
      </c>
      <c r="F86" s="18">
        <v>11.78</v>
      </c>
      <c r="G86" s="18">
        <v>49.3</v>
      </c>
      <c r="H86" s="18">
        <v>107.9</v>
      </c>
      <c r="I86" s="18">
        <v>162</v>
      </c>
      <c r="J86" s="18">
        <v>5</v>
      </c>
      <c r="K86" s="18">
        <v>8</v>
      </c>
      <c r="L86" s="18" t="s">
        <v>475</v>
      </c>
      <c r="M86" s="18">
        <v>7.39</v>
      </c>
      <c r="N86" s="18">
        <v>41.3</v>
      </c>
      <c r="O86" s="18">
        <v>103.83</v>
      </c>
      <c r="P86" s="18">
        <v>120</v>
      </c>
      <c r="Q86" s="18">
        <v>4</v>
      </c>
      <c r="R86" s="18">
        <v>7</v>
      </c>
    </row>
    <row r="87" spans="1:18">
      <c r="A87" s="18" t="s">
        <v>548</v>
      </c>
      <c r="B87" s="18" t="s">
        <v>511</v>
      </c>
      <c r="C87" s="18" t="s">
        <v>471</v>
      </c>
      <c r="D87" s="84" t="s">
        <v>549</v>
      </c>
      <c r="E87" s="18" t="s">
        <v>63</v>
      </c>
      <c r="F87" s="84" t="s">
        <v>254</v>
      </c>
      <c r="G87" s="84" t="s">
        <v>254</v>
      </c>
      <c r="H87" s="84" t="s">
        <v>254</v>
      </c>
      <c r="I87" s="84" t="s">
        <v>254</v>
      </c>
      <c r="J87" s="84" t="s">
        <v>254</v>
      </c>
      <c r="K87" s="84" t="s">
        <v>254</v>
      </c>
      <c r="L87" s="84" t="s">
        <v>254</v>
      </c>
      <c r="M87" s="84" t="s">
        <v>254</v>
      </c>
      <c r="N87" s="84" t="s">
        <v>254</v>
      </c>
      <c r="O87" s="84" t="s">
        <v>254</v>
      </c>
      <c r="P87" s="84" t="s">
        <v>254</v>
      </c>
      <c r="Q87" s="84" t="s">
        <v>254</v>
      </c>
      <c r="R87" s="84" t="s">
        <v>254</v>
      </c>
    </row>
    <row r="88" spans="1:18">
      <c r="B88" s="18" t="s">
        <v>513</v>
      </c>
      <c r="C88" s="18" t="s">
        <v>464</v>
      </c>
      <c r="D88" s="84" t="s">
        <v>549</v>
      </c>
      <c r="E88" s="18" t="s">
        <v>63</v>
      </c>
      <c r="F88" s="84" t="s">
        <v>254</v>
      </c>
      <c r="G88" s="84" t="s">
        <v>254</v>
      </c>
      <c r="H88" s="84" t="s">
        <v>254</v>
      </c>
      <c r="I88" s="84" t="s">
        <v>254</v>
      </c>
      <c r="J88" s="84" t="s">
        <v>254</v>
      </c>
      <c r="K88" s="84" t="s">
        <v>254</v>
      </c>
      <c r="L88" s="84" t="s">
        <v>254</v>
      </c>
      <c r="M88" s="84" t="s">
        <v>254</v>
      </c>
      <c r="N88" s="84" t="s">
        <v>254</v>
      </c>
      <c r="O88" s="84" t="s">
        <v>254</v>
      </c>
      <c r="P88" s="84" t="s">
        <v>254</v>
      </c>
      <c r="Q88" s="84" t="s">
        <v>254</v>
      </c>
      <c r="R88" s="84" t="s">
        <v>254</v>
      </c>
    </row>
    <row r="89" spans="1:18">
      <c r="B89" s="18" t="s">
        <v>514</v>
      </c>
      <c r="C89" s="18" t="s">
        <v>464</v>
      </c>
      <c r="D89" s="84" t="s">
        <v>549</v>
      </c>
      <c r="E89" s="18" t="s">
        <v>63</v>
      </c>
      <c r="F89" s="84" t="s">
        <v>254</v>
      </c>
      <c r="G89" s="84" t="s">
        <v>254</v>
      </c>
      <c r="H89" s="84" t="s">
        <v>254</v>
      </c>
      <c r="I89" s="84" t="s">
        <v>254</v>
      </c>
      <c r="J89" s="84" t="s">
        <v>254</v>
      </c>
      <c r="K89" s="84" t="s">
        <v>254</v>
      </c>
      <c r="L89" s="84" t="s">
        <v>254</v>
      </c>
      <c r="M89" s="84" t="s">
        <v>254</v>
      </c>
      <c r="N89" s="84" t="s">
        <v>254</v>
      </c>
      <c r="O89" s="84" t="s">
        <v>254</v>
      </c>
      <c r="P89" s="84" t="s">
        <v>254</v>
      </c>
      <c r="Q89" s="84" t="s">
        <v>254</v>
      </c>
      <c r="R89" s="84" t="s">
        <v>254</v>
      </c>
    </row>
  </sheetData>
  <autoFilter ref="A1:V89" xr:uid="{00000000-0009-0000-0000-000003000000}"/>
  <phoneticPr fontId="36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0"/>
  <sheetViews>
    <sheetView topLeftCell="A471" workbookViewId="0">
      <selection activeCell="C479" sqref="C479"/>
    </sheetView>
  </sheetViews>
  <sheetFormatPr baseColWidth="10" defaultColWidth="9" defaultRowHeight="15"/>
  <cols>
    <col min="1" max="1" width="11" style="1" customWidth="1"/>
    <col min="2" max="2" width="37" style="1" customWidth="1"/>
    <col min="3" max="4" width="24.6640625" style="1" customWidth="1"/>
    <col min="5" max="5" width="24.5" style="1" customWidth="1"/>
    <col min="6" max="16384" width="9" style="1"/>
  </cols>
  <sheetData>
    <row r="1" spans="1:16">
      <c r="A1" s="2" t="s">
        <v>550</v>
      </c>
      <c r="B1" s="3"/>
    </row>
    <row r="2" spans="1:16">
      <c r="A2" s="4" t="s">
        <v>551</v>
      </c>
      <c r="B2" s="4" t="s">
        <v>552</v>
      </c>
      <c r="C2" s="4" t="s">
        <v>553</v>
      </c>
      <c r="D2" s="4" t="s">
        <v>554</v>
      </c>
      <c r="E2" s="4" t="s">
        <v>555</v>
      </c>
      <c r="F2" s="4" t="s">
        <v>556</v>
      </c>
    </row>
    <row r="3" spans="1:16">
      <c r="A3" s="4"/>
      <c r="B3" s="4"/>
      <c r="C3" s="4"/>
      <c r="D3" s="4"/>
      <c r="E3" s="4"/>
      <c r="F3" s="4"/>
    </row>
    <row r="4" spans="1:16" ht="14.25" customHeight="1">
      <c r="A4" s="5" t="s">
        <v>557</v>
      </c>
      <c r="B4" s="4" t="s">
        <v>558</v>
      </c>
      <c r="C4" s="4"/>
      <c r="D4" s="4" t="s">
        <v>559</v>
      </c>
      <c r="E4" s="6">
        <v>0</v>
      </c>
      <c r="F4" s="7"/>
      <c r="P4" s="9"/>
    </row>
    <row r="5" spans="1:16">
      <c r="A5" s="5"/>
      <c r="B5" s="4" t="s">
        <v>560</v>
      </c>
      <c r="C5" s="4"/>
      <c r="D5" s="4" t="s">
        <v>561</v>
      </c>
      <c r="E5" s="6">
        <v>0</v>
      </c>
      <c r="F5" s="8"/>
      <c r="P5" s="9"/>
    </row>
    <row r="6" spans="1:16">
      <c r="A6" s="5"/>
      <c r="B6" s="4" t="s">
        <v>562</v>
      </c>
      <c r="C6" s="4"/>
      <c r="D6" s="4" t="s">
        <v>563</v>
      </c>
      <c r="E6" s="6">
        <v>0</v>
      </c>
      <c r="F6" s="8"/>
      <c r="P6" s="9"/>
    </row>
    <row r="7" spans="1:16">
      <c r="A7" s="5"/>
      <c r="B7" s="4" t="s">
        <v>564</v>
      </c>
      <c r="C7" s="4"/>
      <c r="D7" s="4" t="s">
        <v>565</v>
      </c>
      <c r="E7" s="6">
        <v>0</v>
      </c>
      <c r="F7" s="8"/>
      <c r="P7" s="9"/>
    </row>
    <row r="8" spans="1:16">
      <c r="A8" s="5"/>
      <c r="B8" s="4" t="s">
        <v>566</v>
      </c>
      <c r="C8" s="4"/>
      <c r="D8" s="4" t="s">
        <v>567</v>
      </c>
      <c r="E8" s="6">
        <v>0</v>
      </c>
      <c r="F8" s="8"/>
      <c r="P8" s="9"/>
    </row>
    <row r="9" spans="1:16">
      <c r="A9" s="5"/>
      <c r="B9" s="4" t="s">
        <v>568</v>
      </c>
      <c r="C9" s="4"/>
      <c r="D9" s="4" t="s">
        <v>569</v>
      </c>
      <c r="E9" s="6">
        <v>0</v>
      </c>
      <c r="F9" s="8"/>
      <c r="P9" s="9"/>
    </row>
    <row r="10" spans="1:16">
      <c r="A10" s="5"/>
      <c r="B10" s="4" t="s">
        <v>570</v>
      </c>
      <c r="C10" s="4"/>
      <c r="D10" s="4" t="s">
        <v>571</v>
      </c>
      <c r="E10" s="6">
        <v>0</v>
      </c>
      <c r="F10" s="8"/>
      <c r="P10" s="9"/>
    </row>
    <row r="11" spans="1:16">
      <c r="A11" s="5"/>
      <c r="B11" s="4" t="s">
        <v>572</v>
      </c>
      <c r="C11" s="4"/>
      <c r="D11" s="4" t="s">
        <v>573</v>
      </c>
      <c r="E11" s="6">
        <v>0</v>
      </c>
      <c r="F11" s="8"/>
      <c r="P11" s="9"/>
    </row>
    <row r="12" spans="1:16">
      <c r="A12" s="5"/>
      <c r="B12" s="4" t="s">
        <v>574</v>
      </c>
      <c r="C12" s="4"/>
      <c r="D12" s="4" t="s">
        <v>575</v>
      </c>
      <c r="E12" s="6">
        <v>0</v>
      </c>
      <c r="F12" s="8"/>
      <c r="P12" s="9"/>
    </row>
    <row r="13" spans="1:16">
      <c r="A13" s="5"/>
      <c r="B13" s="4" t="s">
        <v>576</v>
      </c>
      <c r="C13" s="4"/>
      <c r="D13" s="4" t="s">
        <v>577</v>
      </c>
      <c r="E13" s="6">
        <v>0</v>
      </c>
      <c r="F13" s="8"/>
      <c r="P13" s="9"/>
    </row>
    <row r="14" spans="1:16">
      <c r="A14" s="5"/>
      <c r="B14" s="4" t="s">
        <v>578</v>
      </c>
      <c r="C14" s="4"/>
      <c r="D14" s="4" t="s">
        <v>579</v>
      </c>
      <c r="E14" s="6">
        <v>0</v>
      </c>
      <c r="F14" s="8"/>
      <c r="P14" s="9"/>
    </row>
    <row r="15" spans="1:16">
      <c r="A15" s="5"/>
      <c r="B15" s="4" t="s">
        <v>580</v>
      </c>
      <c r="C15" s="4"/>
      <c r="D15" s="4" t="s">
        <v>581</v>
      </c>
      <c r="E15" s="6">
        <v>0</v>
      </c>
      <c r="F15" s="8"/>
      <c r="P15" s="9"/>
    </row>
    <row r="16" spans="1:16">
      <c r="A16" s="5"/>
      <c r="B16" s="4" t="s">
        <v>582</v>
      </c>
      <c r="C16" s="4"/>
      <c r="D16" s="4" t="s">
        <v>583</v>
      </c>
      <c r="E16" s="6">
        <v>0</v>
      </c>
      <c r="F16" s="8"/>
      <c r="P16" s="9"/>
    </row>
    <row r="17" spans="1:16">
      <c r="A17" s="5"/>
      <c r="B17" s="4" t="s">
        <v>584</v>
      </c>
      <c r="C17" s="4"/>
      <c r="D17" s="4" t="s">
        <v>585</v>
      </c>
      <c r="E17" s="6">
        <v>0</v>
      </c>
      <c r="F17" s="8"/>
      <c r="P17" s="9"/>
    </row>
    <row r="18" spans="1:16">
      <c r="A18" s="5"/>
      <c r="B18" s="4" t="s">
        <v>586</v>
      </c>
      <c r="C18" s="4"/>
      <c r="D18" s="4" t="s">
        <v>587</v>
      </c>
      <c r="E18" s="6">
        <v>0</v>
      </c>
      <c r="F18" s="8"/>
      <c r="P18" s="9"/>
    </row>
    <row r="19" spans="1:16">
      <c r="A19" s="5"/>
      <c r="B19" s="4" t="s">
        <v>588</v>
      </c>
      <c r="C19" s="4"/>
      <c r="D19" s="4" t="s">
        <v>561</v>
      </c>
      <c r="E19" s="6">
        <v>0</v>
      </c>
      <c r="F19" s="8"/>
      <c r="P19" s="9"/>
    </row>
    <row r="20" spans="1:16">
      <c r="A20" s="5"/>
      <c r="B20" s="4" t="s">
        <v>589</v>
      </c>
      <c r="C20" s="4"/>
      <c r="D20" s="4" t="s">
        <v>590</v>
      </c>
      <c r="E20" s="6">
        <v>0</v>
      </c>
      <c r="F20" s="8"/>
      <c r="P20" s="9"/>
    </row>
    <row r="21" spans="1:16">
      <c r="A21" s="5"/>
      <c r="B21" s="4" t="s">
        <v>591</v>
      </c>
      <c r="C21" s="4"/>
      <c r="D21" s="4" t="s">
        <v>592</v>
      </c>
      <c r="E21" s="6">
        <v>0</v>
      </c>
      <c r="F21" s="8"/>
      <c r="P21" s="9"/>
    </row>
    <row r="22" spans="1:16">
      <c r="A22" s="5"/>
      <c r="B22" s="4" t="s">
        <v>593</v>
      </c>
      <c r="C22" s="4"/>
      <c r="D22" s="4" t="s">
        <v>594</v>
      </c>
      <c r="E22" s="6">
        <v>0</v>
      </c>
      <c r="F22" s="8"/>
      <c r="P22" s="9"/>
    </row>
    <row r="23" spans="1:16">
      <c r="A23" s="5"/>
      <c r="B23" s="4" t="s">
        <v>595</v>
      </c>
      <c r="C23" s="4"/>
      <c r="D23" s="4" t="s">
        <v>594</v>
      </c>
      <c r="E23" s="6">
        <v>0</v>
      </c>
      <c r="F23" s="8"/>
      <c r="P23" s="9"/>
    </row>
    <row r="24" spans="1:16">
      <c r="A24" s="5"/>
      <c r="B24" s="4" t="s">
        <v>596</v>
      </c>
      <c r="C24" s="4"/>
      <c r="D24" s="4" t="s">
        <v>597</v>
      </c>
      <c r="E24" s="6">
        <v>0</v>
      </c>
      <c r="F24" s="8"/>
      <c r="P24" s="9"/>
    </row>
    <row r="25" spans="1:16">
      <c r="A25" s="5"/>
      <c r="B25" s="4" t="s">
        <v>598</v>
      </c>
      <c r="C25" s="4"/>
      <c r="D25" s="4" t="s">
        <v>599</v>
      </c>
      <c r="E25" s="6">
        <v>0</v>
      </c>
      <c r="F25" s="8"/>
      <c r="P25" s="9"/>
    </row>
    <row r="26" spans="1:16">
      <c r="A26" s="5"/>
      <c r="B26" s="4" t="s">
        <v>600</v>
      </c>
      <c r="C26" s="4"/>
      <c r="D26" s="4" t="s">
        <v>559</v>
      </c>
      <c r="E26" s="6">
        <v>0</v>
      </c>
      <c r="F26" s="8"/>
      <c r="P26" s="9"/>
    </row>
    <row r="27" spans="1:16">
      <c r="A27" s="5"/>
      <c r="B27" s="4" t="s">
        <v>601</v>
      </c>
      <c r="C27" s="4"/>
      <c r="D27" s="4" t="s">
        <v>602</v>
      </c>
      <c r="E27" s="6">
        <v>0</v>
      </c>
      <c r="F27" s="8"/>
      <c r="P27" s="9"/>
    </row>
    <row r="28" spans="1:16">
      <c r="A28" s="5"/>
      <c r="B28" s="4" t="s">
        <v>603</v>
      </c>
      <c r="C28" s="4"/>
      <c r="D28" s="4" t="s">
        <v>604</v>
      </c>
      <c r="E28" s="6">
        <v>0</v>
      </c>
      <c r="F28" s="8"/>
      <c r="P28" s="9"/>
    </row>
    <row r="29" spans="1:16">
      <c r="A29" s="5"/>
      <c r="B29" s="4" t="s">
        <v>605</v>
      </c>
      <c r="C29" s="4"/>
      <c r="D29" s="4" t="s">
        <v>604</v>
      </c>
      <c r="E29" s="6">
        <v>0</v>
      </c>
      <c r="F29" s="8"/>
      <c r="P29" s="9"/>
    </row>
    <row r="30" spans="1:16">
      <c r="A30" s="5"/>
      <c r="B30" s="4" t="s">
        <v>606</v>
      </c>
      <c r="C30" s="4"/>
      <c r="D30" s="4" t="s">
        <v>607</v>
      </c>
      <c r="E30" s="6">
        <v>0</v>
      </c>
      <c r="F30" s="8"/>
      <c r="P30" s="9"/>
    </row>
    <row r="31" spans="1:16">
      <c r="A31" s="5"/>
      <c r="B31" s="4" t="s">
        <v>608</v>
      </c>
      <c r="C31" s="4"/>
      <c r="D31" s="4" t="s">
        <v>609</v>
      </c>
      <c r="E31" s="6">
        <v>0</v>
      </c>
      <c r="F31" s="8"/>
      <c r="P31" s="9"/>
    </row>
    <row r="32" spans="1:16">
      <c r="A32" s="5"/>
      <c r="B32" s="4" t="s">
        <v>610</v>
      </c>
      <c r="C32" s="4"/>
      <c r="D32" s="4" t="s">
        <v>609</v>
      </c>
      <c r="E32" s="6">
        <v>0</v>
      </c>
      <c r="F32" s="8"/>
      <c r="P32" s="9"/>
    </row>
    <row r="33" spans="1:16">
      <c r="A33" s="5"/>
      <c r="B33" s="4" t="s">
        <v>611</v>
      </c>
      <c r="C33" s="4"/>
      <c r="D33" s="4" t="s">
        <v>604</v>
      </c>
      <c r="E33" s="6">
        <v>0</v>
      </c>
      <c r="F33" s="8"/>
      <c r="P33" s="9"/>
    </row>
    <row r="34" spans="1:16">
      <c r="A34" s="5"/>
      <c r="B34" s="4" t="s">
        <v>612</v>
      </c>
      <c r="C34" s="4"/>
      <c r="D34" s="4" t="s">
        <v>613</v>
      </c>
      <c r="E34" s="6">
        <v>0</v>
      </c>
      <c r="F34" s="8"/>
      <c r="P34" s="9"/>
    </row>
    <row r="35" spans="1:16">
      <c r="A35" s="5"/>
      <c r="B35" s="4" t="s">
        <v>614</v>
      </c>
      <c r="C35" s="4"/>
      <c r="D35" s="4" t="s">
        <v>615</v>
      </c>
      <c r="E35" s="6">
        <v>0</v>
      </c>
      <c r="F35" s="8"/>
      <c r="P35" s="9"/>
    </row>
    <row r="36" spans="1:16">
      <c r="A36" s="5"/>
      <c r="B36" s="4" t="s">
        <v>616</v>
      </c>
      <c r="C36" s="4"/>
      <c r="D36" s="4" t="s">
        <v>617</v>
      </c>
      <c r="E36" s="6">
        <v>0</v>
      </c>
      <c r="F36" s="8"/>
      <c r="P36" s="9"/>
    </row>
    <row r="37" spans="1:16">
      <c r="A37" s="5"/>
      <c r="B37" s="4" t="s">
        <v>618</v>
      </c>
      <c r="C37" s="4"/>
      <c r="D37" s="4" t="s">
        <v>559</v>
      </c>
      <c r="E37" s="6">
        <v>0</v>
      </c>
      <c r="F37" s="8"/>
      <c r="P37" s="9"/>
    </row>
    <row r="38" spans="1:16">
      <c r="A38" s="5"/>
      <c r="B38" s="4" t="s">
        <v>619</v>
      </c>
      <c r="C38" s="4"/>
      <c r="D38" s="4" t="s">
        <v>561</v>
      </c>
      <c r="E38" s="6">
        <v>0</v>
      </c>
      <c r="F38" s="8"/>
      <c r="P38" s="9"/>
    </row>
    <row r="39" spans="1:16">
      <c r="A39" s="5"/>
      <c r="B39" s="4" t="s">
        <v>620</v>
      </c>
      <c r="C39" s="4"/>
      <c r="D39" s="4" t="s">
        <v>621</v>
      </c>
      <c r="E39" s="6">
        <v>0</v>
      </c>
      <c r="F39" s="8"/>
      <c r="P39" s="9"/>
    </row>
    <row r="40" spans="1:16">
      <c r="A40" s="5"/>
      <c r="B40" s="4" t="s">
        <v>622</v>
      </c>
      <c r="C40" s="4"/>
      <c r="D40" s="4" t="s">
        <v>623</v>
      </c>
      <c r="E40" s="6">
        <v>0</v>
      </c>
      <c r="F40" s="8"/>
      <c r="P40" s="9"/>
    </row>
    <row r="41" spans="1:16">
      <c r="A41" s="5"/>
      <c r="B41" s="4" t="s">
        <v>624</v>
      </c>
      <c r="C41" s="4"/>
      <c r="D41" s="4" t="s">
        <v>625</v>
      </c>
      <c r="E41" s="6">
        <v>0</v>
      </c>
      <c r="F41" s="8"/>
      <c r="P41" s="9"/>
    </row>
    <row r="42" spans="1:16">
      <c r="A42" s="5"/>
      <c r="B42" s="4" t="s">
        <v>626</v>
      </c>
      <c r="C42" s="4"/>
      <c r="D42" s="4" t="s">
        <v>609</v>
      </c>
      <c r="E42" s="6">
        <v>0</v>
      </c>
      <c r="F42" s="8"/>
      <c r="P42" s="9"/>
    </row>
    <row r="43" spans="1:16">
      <c r="A43" s="5"/>
      <c r="B43" s="4" t="s">
        <v>627</v>
      </c>
      <c r="C43" s="4"/>
      <c r="D43" s="4" t="s">
        <v>561</v>
      </c>
      <c r="E43" s="6">
        <v>0</v>
      </c>
      <c r="F43" s="8"/>
      <c r="P43" s="9"/>
    </row>
    <row r="44" spans="1:16">
      <c r="A44" s="5"/>
      <c r="B44" s="4" t="s">
        <v>628</v>
      </c>
      <c r="C44" s="4"/>
      <c r="D44" s="4" t="s">
        <v>590</v>
      </c>
      <c r="E44" s="6">
        <v>0</v>
      </c>
      <c r="F44" s="8"/>
      <c r="P44" s="9"/>
    </row>
    <row r="45" spans="1:16">
      <c r="A45" s="5"/>
      <c r="B45" s="4" t="s">
        <v>629</v>
      </c>
      <c r="C45" s="4"/>
      <c r="D45" s="4" t="s">
        <v>630</v>
      </c>
      <c r="E45" s="6">
        <v>0</v>
      </c>
      <c r="F45" s="8"/>
      <c r="P45" s="9"/>
    </row>
    <row r="46" spans="1:16">
      <c r="A46" s="5"/>
      <c r="B46" s="4" t="s">
        <v>631</v>
      </c>
      <c r="C46" s="4"/>
      <c r="D46" s="4" t="s">
        <v>565</v>
      </c>
      <c r="E46" s="6">
        <v>0</v>
      </c>
      <c r="F46" s="8"/>
      <c r="P46" s="9"/>
    </row>
    <row r="47" spans="1:16">
      <c r="A47" s="5"/>
      <c r="B47" s="4" t="s">
        <v>632</v>
      </c>
      <c r="C47" s="4"/>
      <c r="D47" s="4" t="s">
        <v>567</v>
      </c>
      <c r="E47" s="6">
        <v>0</v>
      </c>
      <c r="F47" s="8"/>
      <c r="P47" s="9"/>
    </row>
    <row r="48" spans="1:16">
      <c r="A48" s="5"/>
      <c r="B48" s="4" t="s">
        <v>633</v>
      </c>
      <c r="C48" s="4"/>
      <c r="D48" s="4" t="s">
        <v>634</v>
      </c>
      <c r="E48" s="6">
        <v>0</v>
      </c>
      <c r="F48" s="8"/>
      <c r="P48" s="9"/>
    </row>
    <row r="49" spans="1:16">
      <c r="A49" s="5"/>
      <c r="B49" s="4" t="s">
        <v>635</v>
      </c>
      <c r="C49" s="4"/>
      <c r="D49" s="4" t="s">
        <v>559</v>
      </c>
      <c r="E49" s="6">
        <v>0</v>
      </c>
      <c r="F49" s="8"/>
      <c r="P49" s="9"/>
    </row>
    <row r="50" spans="1:16">
      <c r="A50" s="5"/>
      <c r="B50" s="4" t="s">
        <v>636</v>
      </c>
      <c r="C50" s="4"/>
      <c r="D50" s="4" t="s">
        <v>561</v>
      </c>
      <c r="E50" s="6">
        <v>0</v>
      </c>
      <c r="F50" s="8"/>
      <c r="P50" s="9"/>
    </row>
    <row r="51" spans="1:16">
      <c r="A51" s="5"/>
      <c r="B51" s="4" t="s">
        <v>637</v>
      </c>
      <c r="C51" s="4"/>
      <c r="D51" s="4" t="s">
        <v>638</v>
      </c>
      <c r="E51" s="6">
        <v>0</v>
      </c>
      <c r="F51" s="8"/>
      <c r="P51" s="9"/>
    </row>
    <row r="52" spans="1:16">
      <c r="A52" s="5"/>
      <c r="B52" s="4" t="s">
        <v>639</v>
      </c>
      <c r="C52" s="4"/>
      <c r="D52" s="4" t="s">
        <v>613</v>
      </c>
      <c r="E52" s="6">
        <v>0</v>
      </c>
      <c r="F52" s="8"/>
      <c r="P52" s="9"/>
    </row>
    <row r="53" spans="1:16">
      <c r="A53" s="5"/>
      <c r="B53" s="4" t="s">
        <v>640</v>
      </c>
      <c r="C53" s="4"/>
      <c r="D53" s="4" t="s">
        <v>599</v>
      </c>
      <c r="E53" s="6">
        <v>0</v>
      </c>
      <c r="F53" s="8"/>
      <c r="P53" s="9"/>
    </row>
    <row r="54" spans="1:16">
      <c r="A54" s="5"/>
      <c r="B54" s="4" t="s">
        <v>641</v>
      </c>
      <c r="C54" s="4"/>
      <c r="D54" s="4" t="s">
        <v>642</v>
      </c>
      <c r="E54" s="6">
        <v>0</v>
      </c>
      <c r="F54" s="8"/>
      <c r="P54" s="9"/>
    </row>
    <row r="55" spans="1:16">
      <c r="A55" s="5"/>
      <c r="B55" s="4" t="s">
        <v>643</v>
      </c>
      <c r="C55" s="4"/>
      <c r="D55" s="4" t="s">
        <v>644</v>
      </c>
      <c r="E55" s="6">
        <v>0</v>
      </c>
      <c r="F55" s="8"/>
      <c r="P55" s="9"/>
    </row>
    <row r="56" spans="1:16">
      <c r="A56" s="5"/>
      <c r="B56" s="4" t="s">
        <v>645</v>
      </c>
      <c r="C56" s="4"/>
      <c r="D56" s="4" t="s">
        <v>646</v>
      </c>
      <c r="E56" s="6">
        <v>0</v>
      </c>
      <c r="F56" s="8"/>
      <c r="P56" s="9"/>
    </row>
    <row r="57" spans="1:16">
      <c r="A57" s="5"/>
      <c r="B57" s="4" t="s">
        <v>647</v>
      </c>
      <c r="C57" s="4"/>
      <c r="D57" s="4" t="s">
        <v>648</v>
      </c>
      <c r="E57" s="6">
        <v>0</v>
      </c>
      <c r="F57" s="8"/>
      <c r="P57" s="9"/>
    </row>
    <row r="58" spans="1:16">
      <c r="A58" s="5"/>
      <c r="B58" s="4" t="s">
        <v>649</v>
      </c>
      <c r="C58" s="4"/>
      <c r="D58" s="4" t="s">
        <v>650</v>
      </c>
      <c r="E58" s="6">
        <v>0</v>
      </c>
      <c r="F58" s="8"/>
      <c r="P58" s="9"/>
    </row>
    <row r="59" spans="1:16">
      <c r="A59" s="5"/>
      <c r="B59" s="4" t="s">
        <v>651</v>
      </c>
      <c r="C59" s="4"/>
      <c r="D59" s="4" t="s">
        <v>634</v>
      </c>
      <c r="E59" s="6">
        <v>0</v>
      </c>
      <c r="F59" s="8"/>
      <c r="P59" s="9"/>
    </row>
    <row r="60" spans="1:16">
      <c r="A60" s="5"/>
      <c r="B60" s="4" t="s">
        <v>652</v>
      </c>
      <c r="C60" s="4"/>
      <c r="D60" s="4" t="s">
        <v>653</v>
      </c>
      <c r="E60" s="6">
        <v>0</v>
      </c>
      <c r="F60" s="8"/>
      <c r="P60" s="9"/>
    </row>
    <row r="61" spans="1:16">
      <c r="A61" s="5"/>
      <c r="B61" s="4" t="s">
        <v>654</v>
      </c>
      <c r="C61" s="4"/>
      <c r="D61" s="4" t="s">
        <v>653</v>
      </c>
      <c r="E61" s="6">
        <v>0</v>
      </c>
      <c r="F61" s="8"/>
      <c r="P61" s="9"/>
    </row>
    <row r="62" spans="1:16">
      <c r="A62" s="5"/>
      <c r="B62" s="4" t="s">
        <v>655</v>
      </c>
      <c r="C62" s="4"/>
      <c r="D62" s="4" t="s">
        <v>653</v>
      </c>
      <c r="E62" s="6">
        <v>0</v>
      </c>
      <c r="F62" s="8"/>
      <c r="P62" s="9"/>
    </row>
    <row r="63" spans="1:16">
      <c r="A63" s="5"/>
      <c r="B63" s="4" t="s">
        <v>656</v>
      </c>
      <c r="C63" s="4"/>
      <c r="D63" s="4" t="s">
        <v>653</v>
      </c>
      <c r="E63" s="6">
        <v>0</v>
      </c>
      <c r="F63" s="8"/>
      <c r="P63" s="9"/>
    </row>
    <row r="64" spans="1:16">
      <c r="A64" s="5"/>
      <c r="B64" s="4" t="s">
        <v>657</v>
      </c>
      <c r="C64" s="4"/>
      <c r="D64" s="4" t="s">
        <v>653</v>
      </c>
      <c r="E64" s="6">
        <v>0</v>
      </c>
      <c r="F64" s="8"/>
      <c r="P64" s="9"/>
    </row>
    <row r="65" spans="1:16">
      <c r="A65" s="5"/>
      <c r="B65" s="4" t="s">
        <v>658</v>
      </c>
      <c r="C65" s="4"/>
      <c r="D65" s="4" t="s">
        <v>653</v>
      </c>
      <c r="E65" s="6">
        <v>0</v>
      </c>
      <c r="F65" s="8"/>
      <c r="P65" s="9"/>
    </row>
    <row r="66" spans="1:16">
      <c r="A66" s="5"/>
      <c r="B66" s="4" t="s">
        <v>659</v>
      </c>
      <c r="C66" s="4"/>
      <c r="D66" s="4" t="s">
        <v>653</v>
      </c>
      <c r="E66" s="6">
        <v>0</v>
      </c>
      <c r="F66" s="8"/>
      <c r="P66" s="9"/>
    </row>
    <row r="67" spans="1:16">
      <c r="A67" s="5"/>
      <c r="B67" s="4" t="s">
        <v>660</v>
      </c>
      <c r="C67" s="4"/>
      <c r="D67" s="4" t="s">
        <v>661</v>
      </c>
      <c r="E67" s="6">
        <v>0</v>
      </c>
      <c r="F67" s="8"/>
      <c r="P67" s="9"/>
    </row>
    <row r="68" spans="1:16">
      <c r="A68" s="5"/>
      <c r="B68" s="4" t="s">
        <v>662</v>
      </c>
      <c r="C68" s="4"/>
      <c r="D68" s="4" t="s">
        <v>630</v>
      </c>
      <c r="E68" s="6">
        <v>0</v>
      </c>
      <c r="F68" s="8"/>
      <c r="P68" s="9"/>
    </row>
    <row r="69" spans="1:16">
      <c r="A69" s="5"/>
      <c r="B69" s="4" t="s">
        <v>663</v>
      </c>
      <c r="C69" s="4"/>
      <c r="D69" s="4" t="s">
        <v>664</v>
      </c>
      <c r="E69" s="6">
        <v>0</v>
      </c>
      <c r="F69" s="8"/>
      <c r="P69" s="9"/>
    </row>
    <row r="70" spans="1:16">
      <c r="A70" s="5"/>
      <c r="B70" s="4" t="s">
        <v>665</v>
      </c>
      <c r="C70" s="4"/>
      <c r="D70" s="4" t="s">
        <v>666</v>
      </c>
      <c r="E70" s="6">
        <v>0</v>
      </c>
      <c r="F70" s="8"/>
      <c r="P70" s="9"/>
    </row>
    <row r="71" spans="1:16">
      <c r="A71" s="5"/>
      <c r="B71" s="4" t="s">
        <v>667</v>
      </c>
      <c r="C71" s="4"/>
      <c r="D71" s="4" t="s">
        <v>666</v>
      </c>
      <c r="E71" s="6">
        <v>0</v>
      </c>
      <c r="F71" s="8"/>
      <c r="P71" s="9"/>
    </row>
    <row r="72" spans="1:16">
      <c r="A72" s="5"/>
      <c r="B72" s="4" t="s">
        <v>668</v>
      </c>
      <c r="C72" s="4"/>
      <c r="D72" s="4" t="s">
        <v>669</v>
      </c>
      <c r="E72" s="6">
        <v>0</v>
      </c>
      <c r="F72" s="8"/>
      <c r="P72" s="9"/>
    </row>
    <row r="73" spans="1:16">
      <c r="A73" s="5"/>
      <c r="B73" s="4" t="s">
        <v>670</v>
      </c>
      <c r="C73" s="4"/>
      <c r="D73" s="4" t="s">
        <v>613</v>
      </c>
      <c r="E73" s="6">
        <v>0</v>
      </c>
      <c r="F73" s="8"/>
      <c r="P73" s="9"/>
    </row>
    <row r="74" spans="1:16">
      <c r="A74" s="5"/>
      <c r="B74" s="4" t="s">
        <v>671</v>
      </c>
      <c r="C74" s="4"/>
      <c r="D74" s="4" t="s">
        <v>599</v>
      </c>
      <c r="E74" s="6">
        <v>0</v>
      </c>
      <c r="F74" s="8"/>
      <c r="P74" s="9"/>
    </row>
    <row r="75" spans="1:16">
      <c r="A75" s="5"/>
      <c r="B75" s="4" t="s">
        <v>672</v>
      </c>
      <c r="C75" s="4"/>
      <c r="D75" s="4" t="s">
        <v>590</v>
      </c>
      <c r="E75" s="6">
        <v>0</v>
      </c>
      <c r="F75" s="8"/>
      <c r="P75" s="9"/>
    </row>
    <row r="76" spans="1:16">
      <c r="A76" s="5"/>
      <c r="B76" s="4" t="s">
        <v>673</v>
      </c>
      <c r="C76" s="4"/>
      <c r="D76" s="4" t="s">
        <v>559</v>
      </c>
      <c r="E76" s="6">
        <v>0</v>
      </c>
      <c r="F76" s="8"/>
      <c r="P76" s="9"/>
    </row>
    <row r="77" spans="1:16">
      <c r="A77" s="5"/>
      <c r="B77" s="4" t="s">
        <v>674</v>
      </c>
      <c r="C77" s="4"/>
      <c r="D77" s="4" t="s">
        <v>561</v>
      </c>
      <c r="E77" s="6">
        <v>0</v>
      </c>
      <c r="F77" s="8"/>
      <c r="P77" s="9"/>
    </row>
    <row r="78" spans="1:16">
      <c r="A78" s="5"/>
      <c r="B78" s="4" t="s">
        <v>675</v>
      </c>
      <c r="C78" s="4"/>
      <c r="D78" s="4" t="s">
        <v>567</v>
      </c>
      <c r="E78" s="6">
        <v>0</v>
      </c>
      <c r="F78" s="8"/>
      <c r="P78" s="9"/>
    </row>
    <row r="79" spans="1:16">
      <c r="A79" s="5"/>
      <c r="B79" s="4" t="s">
        <v>676</v>
      </c>
      <c r="C79" s="4"/>
      <c r="D79" s="4" t="s">
        <v>677</v>
      </c>
      <c r="E79" s="6">
        <v>0</v>
      </c>
      <c r="F79" s="8"/>
      <c r="P79" s="9"/>
    </row>
    <row r="80" spans="1:16">
      <c r="A80" s="5"/>
      <c r="B80" s="4" t="s">
        <v>678</v>
      </c>
      <c r="C80" s="4"/>
      <c r="D80" s="4" t="s">
        <v>679</v>
      </c>
      <c r="E80" s="6">
        <v>0</v>
      </c>
      <c r="F80" s="8"/>
      <c r="P80" s="9"/>
    </row>
    <row r="81" spans="1:16">
      <c r="A81" s="5"/>
      <c r="B81" s="4" t="s">
        <v>680</v>
      </c>
      <c r="C81" s="4"/>
      <c r="D81" s="4" t="s">
        <v>681</v>
      </c>
      <c r="E81" s="6">
        <v>0</v>
      </c>
      <c r="F81" s="8"/>
      <c r="P81" s="9"/>
    </row>
    <row r="82" spans="1:16">
      <c r="A82" s="5"/>
      <c r="B82" s="4" t="s">
        <v>682</v>
      </c>
      <c r="C82" s="4"/>
      <c r="D82" s="4" t="s">
        <v>559</v>
      </c>
      <c r="E82" s="6">
        <v>0</v>
      </c>
      <c r="F82" s="8"/>
      <c r="P82" s="9"/>
    </row>
    <row r="83" spans="1:16">
      <c r="A83" s="5"/>
      <c r="B83" s="4" t="s">
        <v>683</v>
      </c>
      <c r="C83" s="4"/>
      <c r="D83" s="4" t="s">
        <v>561</v>
      </c>
      <c r="E83" s="6">
        <v>0</v>
      </c>
      <c r="F83" s="8"/>
      <c r="P83" s="9"/>
    </row>
    <row r="84" spans="1:16">
      <c r="A84" s="5"/>
      <c r="B84" s="4" t="s">
        <v>684</v>
      </c>
      <c r="C84" s="4"/>
      <c r="D84" s="4" t="s">
        <v>567</v>
      </c>
      <c r="E84" s="6">
        <v>0</v>
      </c>
      <c r="F84" s="8"/>
      <c r="P84" s="9"/>
    </row>
    <row r="85" spans="1:16">
      <c r="A85" s="5"/>
      <c r="B85" s="4" t="s">
        <v>685</v>
      </c>
      <c r="C85" s="4"/>
      <c r="D85" s="4" t="s">
        <v>679</v>
      </c>
      <c r="E85" s="6">
        <v>0</v>
      </c>
      <c r="F85" s="8"/>
      <c r="P85" s="9"/>
    </row>
    <row r="86" spans="1:16">
      <c r="A86" s="5"/>
      <c r="B86" s="4" t="s">
        <v>686</v>
      </c>
      <c r="C86" s="4"/>
      <c r="D86" s="4" t="s">
        <v>687</v>
      </c>
      <c r="E86" s="6">
        <v>0</v>
      </c>
      <c r="F86" s="8"/>
      <c r="P86" s="9"/>
    </row>
    <row r="87" spans="1:16">
      <c r="A87" s="5"/>
      <c r="B87" s="4" t="s">
        <v>688</v>
      </c>
      <c r="C87" s="4"/>
      <c r="D87" s="4" t="s">
        <v>689</v>
      </c>
      <c r="E87" s="6">
        <v>0</v>
      </c>
      <c r="F87" s="8"/>
      <c r="P87" s="9"/>
    </row>
    <row r="88" spans="1:16">
      <c r="A88" s="5"/>
      <c r="B88" s="4" t="s">
        <v>690</v>
      </c>
      <c r="C88" s="4"/>
      <c r="D88" s="4" t="s">
        <v>691</v>
      </c>
      <c r="E88" s="6">
        <v>0</v>
      </c>
      <c r="F88" s="8"/>
      <c r="P88" s="9"/>
    </row>
    <row r="89" spans="1:16">
      <c r="A89" s="5"/>
      <c r="B89" s="4" t="s">
        <v>692</v>
      </c>
      <c r="C89" s="4"/>
      <c r="D89" s="4" t="s">
        <v>693</v>
      </c>
      <c r="E89" s="6">
        <v>0</v>
      </c>
      <c r="F89" s="8"/>
      <c r="P89" s="9"/>
    </row>
    <row r="90" spans="1:16">
      <c r="A90" s="5"/>
      <c r="B90" s="4" t="s">
        <v>694</v>
      </c>
      <c r="C90" s="4"/>
      <c r="D90" s="4" t="s">
        <v>695</v>
      </c>
      <c r="E90" s="6">
        <v>0</v>
      </c>
      <c r="F90" s="8"/>
      <c r="P90" s="9"/>
    </row>
    <row r="91" spans="1:16">
      <c r="A91" s="5"/>
      <c r="B91" s="4" t="s">
        <v>696</v>
      </c>
      <c r="C91" s="4"/>
      <c r="D91" s="4" t="s">
        <v>697</v>
      </c>
      <c r="E91" s="6">
        <v>0</v>
      </c>
      <c r="F91" s="8"/>
      <c r="P91" s="9"/>
    </row>
    <row r="92" spans="1:16">
      <c r="A92" s="5"/>
      <c r="B92" s="4" t="s">
        <v>698</v>
      </c>
      <c r="C92" s="4"/>
      <c r="D92" s="4" t="s">
        <v>650</v>
      </c>
      <c r="E92" s="6">
        <v>0</v>
      </c>
      <c r="F92" s="8"/>
      <c r="P92" s="9"/>
    </row>
    <row r="93" spans="1:16">
      <c r="A93" s="5"/>
      <c r="B93" s="4" t="s">
        <v>699</v>
      </c>
      <c r="C93" s="4"/>
      <c r="D93" s="4" t="s">
        <v>700</v>
      </c>
      <c r="E93" s="6">
        <v>0</v>
      </c>
      <c r="F93" s="8"/>
      <c r="P93" s="9"/>
    </row>
    <row r="94" spans="1:16">
      <c r="A94" s="5"/>
      <c r="B94" s="4" t="s">
        <v>701</v>
      </c>
      <c r="C94" s="4"/>
      <c r="D94" s="4" t="s">
        <v>702</v>
      </c>
      <c r="E94" s="6">
        <v>0</v>
      </c>
      <c r="F94" s="8"/>
      <c r="P94" s="9"/>
    </row>
    <row r="95" spans="1:16">
      <c r="A95" s="5"/>
      <c r="B95" s="4" t="s">
        <v>703</v>
      </c>
      <c r="C95" s="4"/>
      <c r="D95" s="4" t="s">
        <v>702</v>
      </c>
      <c r="E95" s="6">
        <v>0</v>
      </c>
      <c r="F95" s="8"/>
      <c r="P95" s="9"/>
    </row>
    <row r="96" spans="1:16">
      <c r="A96" s="5"/>
      <c r="B96" s="4" t="s">
        <v>704</v>
      </c>
      <c r="C96" s="4"/>
      <c r="D96" s="4" t="s">
        <v>705</v>
      </c>
      <c r="E96" s="6">
        <v>0</v>
      </c>
      <c r="F96" s="8"/>
      <c r="P96" s="9"/>
    </row>
    <row r="97" spans="1:16">
      <c r="A97" s="5"/>
      <c r="B97" s="4" t="s">
        <v>706</v>
      </c>
      <c r="C97" s="4"/>
      <c r="D97" s="4" t="s">
        <v>707</v>
      </c>
      <c r="E97" s="6">
        <v>0</v>
      </c>
      <c r="F97" s="8"/>
      <c r="P97" s="9"/>
    </row>
    <row r="98" spans="1:16">
      <c r="A98" s="5"/>
      <c r="B98" s="4" t="s">
        <v>708</v>
      </c>
      <c r="C98" s="4"/>
      <c r="D98" s="4" t="s">
        <v>707</v>
      </c>
      <c r="E98" s="6">
        <v>0</v>
      </c>
      <c r="F98" s="8"/>
      <c r="P98" s="9"/>
    </row>
    <row r="99" spans="1:16">
      <c r="A99" s="5"/>
      <c r="B99" s="4" t="s">
        <v>709</v>
      </c>
      <c r="C99" s="4"/>
      <c r="D99" s="4" t="s">
        <v>710</v>
      </c>
      <c r="E99" s="6">
        <v>0</v>
      </c>
      <c r="F99" s="8"/>
      <c r="P99" s="9"/>
    </row>
    <row r="100" spans="1:16">
      <c r="A100" s="5"/>
      <c r="B100" s="4" t="s">
        <v>711</v>
      </c>
      <c r="C100" s="4"/>
      <c r="D100" s="4" t="s">
        <v>563</v>
      </c>
      <c r="E100" s="6">
        <v>0</v>
      </c>
      <c r="F100" s="8"/>
      <c r="P100" s="9"/>
    </row>
    <row r="101" spans="1:16">
      <c r="A101" s="5"/>
      <c r="B101" s="4" t="s">
        <v>712</v>
      </c>
      <c r="C101" s="4"/>
      <c r="D101" s="4" t="s">
        <v>713</v>
      </c>
      <c r="E101" s="6">
        <v>0</v>
      </c>
      <c r="F101" s="8"/>
      <c r="P101" s="9"/>
    </row>
    <row r="102" spans="1:16">
      <c r="A102" s="5"/>
      <c r="B102" s="4" t="s">
        <v>714</v>
      </c>
      <c r="C102" s="4"/>
      <c r="D102" s="4" t="s">
        <v>695</v>
      </c>
      <c r="E102" s="6">
        <v>0</v>
      </c>
      <c r="F102" s="8"/>
      <c r="P102" s="9"/>
    </row>
    <row r="103" spans="1:16">
      <c r="A103" s="5"/>
      <c r="B103" s="4" t="s">
        <v>715</v>
      </c>
      <c r="C103" s="4"/>
      <c r="D103" s="4" t="s">
        <v>559</v>
      </c>
      <c r="E103" s="6">
        <v>0</v>
      </c>
      <c r="F103" s="8"/>
      <c r="P103" s="9"/>
    </row>
    <row r="104" spans="1:16">
      <c r="A104" s="5"/>
      <c r="B104" s="4" t="s">
        <v>716</v>
      </c>
      <c r="C104" s="4"/>
      <c r="D104" s="4" t="s">
        <v>561</v>
      </c>
      <c r="E104" s="6">
        <v>0</v>
      </c>
      <c r="F104" s="8"/>
      <c r="P104" s="9"/>
    </row>
    <row r="105" spans="1:16">
      <c r="A105" s="5"/>
      <c r="B105" s="4" t="s">
        <v>717</v>
      </c>
      <c r="C105" s="4"/>
      <c r="D105" s="4" t="s">
        <v>718</v>
      </c>
      <c r="E105" s="6">
        <v>0</v>
      </c>
      <c r="F105" s="8"/>
      <c r="P105" s="9"/>
    </row>
    <row r="106" spans="1:16">
      <c r="A106" s="5"/>
      <c r="B106" s="4" t="s">
        <v>719</v>
      </c>
      <c r="C106" s="4"/>
      <c r="D106" s="4" t="s">
        <v>653</v>
      </c>
      <c r="E106" s="6">
        <v>0</v>
      </c>
      <c r="F106" s="8"/>
      <c r="P106" s="9"/>
    </row>
    <row r="107" spans="1:16">
      <c r="A107" s="5"/>
      <c r="B107" s="4" t="s">
        <v>720</v>
      </c>
      <c r="C107" s="4"/>
      <c r="D107" s="4" t="s">
        <v>721</v>
      </c>
      <c r="E107" s="6">
        <v>0</v>
      </c>
      <c r="F107" s="8"/>
      <c r="P107" s="9"/>
    </row>
    <row r="108" spans="1:16">
      <c r="A108" s="5"/>
      <c r="B108" s="4" t="s">
        <v>722</v>
      </c>
      <c r="C108" s="4"/>
      <c r="D108" s="4" t="s">
        <v>723</v>
      </c>
      <c r="E108" s="6">
        <v>0</v>
      </c>
      <c r="F108" s="8"/>
      <c r="P108" s="9"/>
    </row>
    <row r="109" spans="1:16">
      <c r="A109" s="10" t="s">
        <v>724</v>
      </c>
      <c r="B109" s="11" t="s">
        <v>725</v>
      </c>
      <c r="C109" s="11"/>
      <c r="D109" s="11" t="s">
        <v>565</v>
      </c>
      <c r="E109" s="6">
        <v>0</v>
      </c>
      <c r="F109" s="10"/>
      <c r="P109" s="9"/>
    </row>
    <row r="110" spans="1:16">
      <c r="A110" s="5"/>
      <c r="B110" s="11" t="s">
        <v>726</v>
      </c>
      <c r="C110" s="11"/>
      <c r="D110" s="11" t="s">
        <v>567</v>
      </c>
      <c r="E110" s="6">
        <v>0</v>
      </c>
      <c r="F110" s="8"/>
      <c r="P110" s="9"/>
    </row>
    <row r="111" spans="1:16">
      <c r="A111" s="5"/>
      <c r="B111" s="11" t="s">
        <v>727</v>
      </c>
      <c r="C111" s="11"/>
      <c r="D111" s="11" t="s">
        <v>664</v>
      </c>
      <c r="E111" s="6">
        <v>0</v>
      </c>
      <c r="F111" s="8"/>
      <c r="P111" s="9"/>
    </row>
    <row r="112" spans="1:16">
      <c r="A112" s="10" t="s">
        <v>724</v>
      </c>
      <c r="B112" s="11" t="s">
        <v>728</v>
      </c>
      <c r="C112" s="11"/>
      <c r="D112" s="11" t="s">
        <v>729</v>
      </c>
      <c r="E112" s="6">
        <v>0</v>
      </c>
      <c r="F112" s="10"/>
      <c r="P112" s="9"/>
    </row>
    <row r="113" spans="1:16">
      <c r="A113" s="12"/>
      <c r="B113" s="11" t="s">
        <v>730</v>
      </c>
      <c r="C113" s="11"/>
      <c r="D113" s="11" t="s">
        <v>731</v>
      </c>
      <c r="E113" s="6">
        <v>0</v>
      </c>
      <c r="F113" s="12"/>
      <c r="P113" s="9"/>
    </row>
    <row r="114" spans="1:16">
      <c r="A114" s="12"/>
      <c r="B114" s="11" t="s">
        <v>732</v>
      </c>
      <c r="C114" s="11"/>
      <c r="D114" s="11" t="s">
        <v>733</v>
      </c>
      <c r="E114" s="6">
        <v>0</v>
      </c>
      <c r="F114" s="12"/>
      <c r="P114" s="9"/>
    </row>
    <row r="115" spans="1:16">
      <c r="A115" s="12"/>
      <c r="B115" s="11" t="s">
        <v>734</v>
      </c>
      <c r="C115" s="11"/>
      <c r="D115" s="11" t="s">
        <v>735</v>
      </c>
      <c r="E115" s="6">
        <v>0</v>
      </c>
      <c r="F115" s="12"/>
      <c r="P115" s="9"/>
    </row>
    <row r="116" spans="1:16">
      <c r="A116" s="12"/>
      <c r="B116" s="11" t="s">
        <v>736</v>
      </c>
      <c r="C116" s="11"/>
      <c r="D116" s="11" t="s">
        <v>737</v>
      </c>
      <c r="E116" s="6">
        <v>0</v>
      </c>
      <c r="F116" s="12"/>
      <c r="P116" s="9"/>
    </row>
    <row r="117" spans="1:16">
      <c r="A117" s="12"/>
      <c r="B117" s="11" t="s">
        <v>738</v>
      </c>
      <c r="C117" s="11"/>
      <c r="D117" s="11" t="s">
        <v>739</v>
      </c>
      <c r="E117" s="6">
        <v>0</v>
      </c>
      <c r="F117" s="12"/>
      <c r="P117" s="9"/>
    </row>
    <row r="118" spans="1:16">
      <c r="A118" s="12"/>
      <c r="B118" s="11" t="s">
        <v>740</v>
      </c>
      <c r="C118" s="11"/>
      <c r="D118" s="11" t="s">
        <v>741</v>
      </c>
      <c r="E118" s="6">
        <v>0</v>
      </c>
      <c r="F118" s="12"/>
      <c r="P118" s="9"/>
    </row>
    <row r="119" spans="1:16">
      <c r="A119" s="12"/>
      <c r="B119" s="11" t="s">
        <v>742</v>
      </c>
      <c r="C119" s="11"/>
      <c r="D119" s="11" t="s">
        <v>741</v>
      </c>
      <c r="E119" s="6">
        <v>0</v>
      </c>
      <c r="F119" s="12"/>
      <c r="P119" s="9"/>
    </row>
    <row r="120" spans="1:16">
      <c r="A120" s="12"/>
      <c r="B120" s="11" t="s">
        <v>743</v>
      </c>
      <c r="C120" s="11"/>
      <c r="D120" s="11" t="s">
        <v>569</v>
      </c>
      <c r="E120" s="6">
        <v>0</v>
      </c>
      <c r="F120" s="12"/>
      <c r="P120" s="9"/>
    </row>
    <row r="121" spans="1:16">
      <c r="A121" s="12"/>
      <c r="B121" s="11" t="s">
        <v>744</v>
      </c>
      <c r="C121" s="11"/>
      <c r="D121" s="11" t="s">
        <v>569</v>
      </c>
      <c r="E121" s="6">
        <v>0</v>
      </c>
      <c r="F121" s="12"/>
      <c r="P121" s="9"/>
    </row>
    <row r="122" spans="1:16">
      <c r="A122" s="12"/>
      <c r="B122" s="11" t="s">
        <v>745</v>
      </c>
      <c r="C122" s="11"/>
      <c r="D122" s="11" t="s">
        <v>746</v>
      </c>
      <c r="E122" s="6">
        <v>0</v>
      </c>
      <c r="F122" s="12"/>
      <c r="P122" s="9"/>
    </row>
    <row r="123" spans="1:16">
      <c r="A123" s="12"/>
      <c r="B123" s="11" t="s">
        <v>747</v>
      </c>
      <c r="C123" s="11"/>
      <c r="D123" s="11" t="s">
        <v>748</v>
      </c>
      <c r="E123" s="6">
        <v>0</v>
      </c>
      <c r="F123" s="12"/>
      <c r="P123" s="9"/>
    </row>
    <row r="124" spans="1:16">
      <c r="A124" s="12"/>
      <c r="B124" s="11" t="s">
        <v>749</v>
      </c>
      <c r="C124" s="11"/>
      <c r="D124" s="11" t="s">
        <v>750</v>
      </c>
      <c r="E124" s="6">
        <v>0</v>
      </c>
      <c r="F124" s="12"/>
      <c r="P124" s="9"/>
    </row>
    <row r="125" spans="1:16">
      <c r="A125" s="12"/>
      <c r="B125" s="11" t="s">
        <v>751</v>
      </c>
      <c r="C125" s="11"/>
      <c r="D125" s="11" t="s">
        <v>752</v>
      </c>
      <c r="E125" s="6">
        <v>0</v>
      </c>
      <c r="F125" s="12"/>
      <c r="P125" s="9"/>
    </row>
    <row r="126" spans="1:16">
      <c r="A126" s="12"/>
      <c r="B126" s="11" t="s">
        <v>753</v>
      </c>
      <c r="C126" s="11"/>
      <c r="D126" s="11" t="s">
        <v>752</v>
      </c>
      <c r="E126" s="6">
        <v>0</v>
      </c>
      <c r="F126" s="12"/>
      <c r="P126" s="9"/>
    </row>
    <row r="127" spans="1:16">
      <c r="A127" s="12"/>
      <c r="B127" s="11" t="s">
        <v>754</v>
      </c>
      <c r="C127" s="11"/>
      <c r="D127" s="11" t="s">
        <v>755</v>
      </c>
      <c r="E127" s="6">
        <v>0</v>
      </c>
      <c r="F127" s="12"/>
      <c r="P127" s="9"/>
    </row>
    <row r="128" spans="1:16">
      <c r="A128" s="12"/>
      <c r="B128" s="11" t="s">
        <v>756</v>
      </c>
      <c r="C128" s="11"/>
      <c r="D128" s="11" t="s">
        <v>741</v>
      </c>
      <c r="E128" s="6">
        <v>0</v>
      </c>
      <c r="F128" s="12"/>
      <c r="P128" s="9"/>
    </row>
    <row r="129" spans="1:16">
      <c r="A129" s="12"/>
      <c r="B129" s="11" t="s">
        <v>757</v>
      </c>
      <c r="C129" s="11"/>
      <c r="D129" s="11" t="s">
        <v>741</v>
      </c>
      <c r="E129" s="6">
        <v>0</v>
      </c>
      <c r="F129" s="12"/>
      <c r="P129" s="9"/>
    </row>
    <row r="130" spans="1:16">
      <c r="A130" s="12"/>
      <c r="B130" s="11" t="s">
        <v>758</v>
      </c>
      <c r="C130" s="11"/>
      <c r="D130" s="11" t="s">
        <v>741</v>
      </c>
      <c r="E130" s="6">
        <v>0</v>
      </c>
      <c r="F130" s="12"/>
      <c r="P130" s="9"/>
    </row>
    <row r="131" spans="1:16">
      <c r="A131" s="12"/>
      <c r="B131" s="11" t="s">
        <v>759</v>
      </c>
      <c r="C131" s="11"/>
      <c r="D131" s="11" t="s">
        <v>741</v>
      </c>
      <c r="E131" s="6">
        <v>0</v>
      </c>
      <c r="F131" s="12"/>
      <c r="P131" s="9"/>
    </row>
    <row r="132" spans="1:16">
      <c r="A132" s="12"/>
      <c r="B132" s="11" t="s">
        <v>760</v>
      </c>
      <c r="C132" s="11"/>
      <c r="D132" s="11" t="s">
        <v>746</v>
      </c>
      <c r="E132" s="6">
        <v>0</v>
      </c>
      <c r="F132" s="12"/>
      <c r="P132" s="9"/>
    </row>
    <row r="133" spans="1:16">
      <c r="A133" s="12"/>
      <c r="B133" s="11" t="s">
        <v>761</v>
      </c>
      <c r="C133" s="11"/>
      <c r="D133" s="11" t="s">
        <v>609</v>
      </c>
      <c r="E133" s="6">
        <v>0</v>
      </c>
      <c r="F133" s="12"/>
      <c r="P133" s="9"/>
    </row>
    <row r="134" spans="1:16">
      <c r="A134" s="12"/>
      <c r="B134" s="11" t="s">
        <v>762</v>
      </c>
      <c r="C134" s="11"/>
      <c r="D134" s="11" t="s">
        <v>609</v>
      </c>
      <c r="E134" s="6">
        <v>0</v>
      </c>
      <c r="F134" s="12"/>
      <c r="P134" s="9"/>
    </row>
    <row r="135" spans="1:16">
      <c r="A135" s="12"/>
      <c r="B135" s="11" t="s">
        <v>763</v>
      </c>
      <c r="C135" s="11"/>
      <c r="D135" s="11" t="s">
        <v>752</v>
      </c>
      <c r="E135" s="6">
        <v>0</v>
      </c>
      <c r="F135" s="12"/>
      <c r="P135" s="9"/>
    </row>
    <row r="136" spans="1:16">
      <c r="A136" s="12"/>
      <c r="B136" s="11" t="s">
        <v>764</v>
      </c>
      <c r="C136" s="11"/>
      <c r="D136" s="11" t="s">
        <v>752</v>
      </c>
      <c r="E136" s="6">
        <v>0</v>
      </c>
      <c r="F136" s="12"/>
      <c r="P136" s="9"/>
    </row>
    <row r="137" spans="1:16">
      <c r="A137" s="12"/>
      <c r="B137" s="11" t="s">
        <v>765</v>
      </c>
      <c r="C137" s="11"/>
      <c r="D137" s="11" t="s">
        <v>766</v>
      </c>
      <c r="E137" s="6">
        <v>-0.45333333333333298</v>
      </c>
      <c r="F137" s="12"/>
      <c r="P137" s="9"/>
    </row>
    <row r="138" spans="1:16">
      <c r="A138" s="12"/>
      <c r="B138" s="11" t="s">
        <v>767</v>
      </c>
      <c r="C138" s="11"/>
      <c r="D138" s="11" t="s">
        <v>768</v>
      </c>
      <c r="E138" s="6">
        <v>-0.45333333333333298</v>
      </c>
      <c r="F138" s="12"/>
      <c r="P138" s="9"/>
    </row>
    <row r="139" spans="1:16">
      <c r="A139" s="12"/>
      <c r="B139" s="11" t="s">
        <v>769</v>
      </c>
      <c r="C139" s="11"/>
      <c r="D139" s="11" t="s">
        <v>768</v>
      </c>
      <c r="E139" s="6">
        <v>-0.69696969696969702</v>
      </c>
      <c r="F139" s="12"/>
      <c r="P139" s="9"/>
    </row>
    <row r="140" spans="1:16">
      <c r="A140" s="12"/>
      <c r="B140" s="11" t="s">
        <v>770</v>
      </c>
      <c r="C140" s="11"/>
      <c r="D140" s="11" t="s">
        <v>771</v>
      </c>
      <c r="E140" s="6">
        <v>-0.69696969696969702</v>
      </c>
      <c r="F140" s="12"/>
      <c r="K140" s="9"/>
      <c r="P140" s="9"/>
    </row>
    <row r="141" spans="1:16">
      <c r="A141" s="12"/>
      <c r="B141" s="11" t="s">
        <v>772</v>
      </c>
      <c r="C141" s="11"/>
      <c r="D141" s="11" t="s">
        <v>771</v>
      </c>
      <c r="E141" s="6">
        <v>-0.138539042821159</v>
      </c>
      <c r="F141" s="12"/>
      <c r="K141" s="9"/>
      <c r="P141" s="9"/>
    </row>
    <row r="142" spans="1:16">
      <c r="A142" s="12"/>
      <c r="B142" s="11" t="s">
        <v>773</v>
      </c>
      <c r="C142" s="11"/>
      <c r="D142" s="11" t="s">
        <v>774</v>
      </c>
      <c r="E142" s="6">
        <v>0</v>
      </c>
      <c r="F142" s="12"/>
      <c r="P142" s="9"/>
    </row>
    <row r="143" spans="1:16">
      <c r="A143" s="12"/>
      <c r="B143" s="11" t="s">
        <v>775</v>
      </c>
      <c r="C143" s="11"/>
      <c r="D143" s="11" t="s">
        <v>776</v>
      </c>
      <c r="E143" s="6">
        <v>0</v>
      </c>
      <c r="F143" s="12"/>
      <c r="P143" s="9"/>
    </row>
    <row r="144" spans="1:16">
      <c r="A144" s="12"/>
      <c r="B144" s="11" t="s">
        <v>777</v>
      </c>
      <c r="C144" s="11"/>
      <c r="D144" s="11" t="s">
        <v>778</v>
      </c>
      <c r="E144" s="6">
        <v>0</v>
      </c>
      <c r="F144" s="12"/>
      <c r="P144" s="9"/>
    </row>
    <row r="145" spans="1:16">
      <c r="A145" s="12"/>
      <c r="B145" s="11" t="s">
        <v>779</v>
      </c>
      <c r="C145" s="11"/>
      <c r="D145" s="11" t="s">
        <v>621</v>
      </c>
      <c r="E145" s="6">
        <v>0</v>
      </c>
      <c r="F145" s="12"/>
      <c r="P145" s="9"/>
    </row>
    <row r="146" spans="1:16">
      <c r="A146" s="12"/>
      <c r="B146" s="11" t="s">
        <v>780</v>
      </c>
      <c r="C146" s="11"/>
      <c r="D146" s="11" t="s">
        <v>781</v>
      </c>
      <c r="E146" s="6">
        <v>0</v>
      </c>
      <c r="F146" s="12"/>
      <c r="P146" s="9"/>
    </row>
    <row r="147" spans="1:16">
      <c r="A147" s="12"/>
      <c r="B147" s="11" t="s">
        <v>782</v>
      </c>
      <c r="C147" s="11"/>
      <c r="D147" s="11" t="s">
        <v>783</v>
      </c>
      <c r="E147" s="6">
        <v>0</v>
      </c>
      <c r="F147" s="12"/>
      <c r="P147" s="9"/>
    </row>
    <row r="148" spans="1:16">
      <c r="A148" s="12"/>
      <c r="B148" s="11" t="s">
        <v>784</v>
      </c>
      <c r="C148" s="11"/>
      <c r="D148" s="11" t="s">
        <v>561</v>
      </c>
      <c r="E148" s="6">
        <v>0</v>
      </c>
      <c r="F148" s="12"/>
      <c r="P148" s="9"/>
    </row>
    <row r="149" spans="1:16">
      <c r="A149" s="12"/>
      <c r="B149" s="11" t="s">
        <v>785</v>
      </c>
      <c r="C149" s="11"/>
      <c r="D149" s="11" t="s">
        <v>590</v>
      </c>
      <c r="E149" s="6">
        <v>0</v>
      </c>
      <c r="F149" s="12"/>
      <c r="P149" s="9"/>
    </row>
    <row r="150" spans="1:16">
      <c r="A150" s="12"/>
      <c r="B150" s="11" t="s">
        <v>786</v>
      </c>
      <c r="C150" s="11"/>
      <c r="D150" s="11" t="s">
        <v>664</v>
      </c>
      <c r="E150" s="6">
        <v>0</v>
      </c>
      <c r="F150" s="12"/>
      <c r="P150" s="9"/>
    </row>
    <row r="151" spans="1:16">
      <c r="A151" s="12"/>
      <c r="B151" s="11" t="s">
        <v>787</v>
      </c>
      <c r="C151" s="11"/>
      <c r="D151" s="11" t="s">
        <v>788</v>
      </c>
      <c r="E151" s="6">
        <v>0</v>
      </c>
      <c r="F151" s="12"/>
      <c r="P151" s="9"/>
    </row>
    <row r="152" spans="1:16">
      <c r="A152" s="12"/>
      <c r="B152" s="11" t="s">
        <v>789</v>
      </c>
      <c r="C152" s="11"/>
      <c r="D152" s="11" t="s">
        <v>790</v>
      </c>
      <c r="E152" s="6">
        <v>0</v>
      </c>
      <c r="F152" s="12"/>
      <c r="P152" s="9"/>
    </row>
    <row r="153" spans="1:16">
      <c r="A153" s="12"/>
      <c r="B153" s="11" t="s">
        <v>791</v>
      </c>
      <c r="C153" s="11"/>
      <c r="D153" s="11" t="s">
        <v>571</v>
      </c>
      <c r="E153" s="6">
        <v>0</v>
      </c>
      <c r="F153" s="12"/>
      <c r="P153" s="9"/>
    </row>
    <row r="154" spans="1:16">
      <c r="A154" s="12"/>
      <c r="B154" s="11" t="s">
        <v>792</v>
      </c>
      <c r="C154" s="11"/>
      <c r="D154" s="11" t="s">
        <v>590</v>
      </c>
      <c r="E154" s="6">
        <v>0</v>
      </c>
      <c r="F154" s="12"/>
      <c r="P154" s="9"/>
    </row>
    <row r="155" spans="1:16">
      <c r="A155" s="12"/>
      <c r="B155" s="11" t="s">
        <v>793</v>
      </c>
      <c r="C155" s="11"/>
      <c r="D155" s="11" t="s">
        <v>794</v>
      </c>
      <c r="E155" s="6">
        <v>0</v>
      </c>
      <c r="F155" s="12"/>
      <c r="P155" s="9"/>
    </row>
    <row r="156" spans="1:16">
      <c r="A156" s="12"/>
      <c r="B156" s="11" t="s">
        <v>795</v>
      </c>
      <c r="C156" s="11"/>
      <c r="D156" s="11" t="s">
        <v>638</v>
      </c>
      <c r="E156" s="6">
        <v>0</v>
      </c>
      <c r="F156" s="12"/>
      <c r="P156" s="9"/>
    </row>
    <row r="157" spans="1:16">
      <c r="A157" s="12"/>
      <c r="B157" s="11" t="s">
        <v>796</v>
      </c>
      <c r="C157" s="11"/>
      <c r="D157" s="11" t="s">
        <v>569</v>
      </c>
      <c r="E157" s="6">
        <v>0</v>
      </c>
      <c r="F157" s="12"/>
      <c r="P157" s="9"/>
    </row>
    <row r="158" spans="1:16">
      <c r="A158" s="12"/>
      <c r="B158" s="11" t="s">
        <v>797</v>
      </c>
      <c r="C158" s="11"/>
      <c r="D158" s="11" t="s">
        <v>569</v>
      </c>
      <c r="E158" s="6">
        <v>0</v>
      </c>
      <c r="F158" s="12"/>
      <c r="P158" s="9"/>
    </row>
    <row r="159" spans="1:16">
      <c r="A159" s="12"/>
      <c r="B159" s="11" t="s">
        <v>798</v>
      </c>
      <c r="C159" s="11"/>
      <c r="D159" s="11" t="s">
        <v>799</v>
      </c>
      <c r="E159" s="6">
        <v>0</v>
      </c>
      <c r="F159" s="12"/>
      <c r="P159" s="9"/>
    </row>
    <row r="160" spans="1:16">
      <c r="A160" s="12"/>
      <c r="B160" s="11" t="s">
        <v>800</v>
      </c>
      <c r="C160" s="11"/>
      <c r="D160" s="11" t="s">
        <v>801</v>
      </c>
      <c r="E160" s="6">
        <v>0</v>
      </c>
      <c r="F160" s="12"/>
      <c r="P160" s="9"/>
    </row>
    <row r="161" spans="1:16">
      <c r="A161" s="12"/>
      <c r="B161" s="11" t="s">
        <v>802</v>
      </c>
      <c r="C161" s="11"/>
      <c r="D161" s="11" t="s">
        <v>801</v>
      </c>
      <c r="E161" s="6">
        <v>0</v>
      </c>
      <c r="F161" s="12"/>
      <c r="P161" s="9"/>
    </row>
    <row r="162" spans="1:16">
      <c r="A162" s="12"/>
      <c r="B162" s="11" t="s">
        <v>803</v>
      </c>
      <c r="C162" s="11"/>
      <c r="D162" s="11" t="s">
        <v>569</v>
      </c>
      <c r="E162" s="6">
        <v>0</v>
      </c>
      <c r="F162" s="12"/>
      <c r="P162" s="9"/>
    </row>
    <row r="163" spans="1:16">
      <c r="A163" s="12"/>
      <c r="B163" s="11" t="s">
        <v>804</v>
      </c>
      <c r="C163" s="11"/>
      <c r="D163" s="11" t="s">
        <v>613</v>
      </c>
      <c r="E163" s="6">
        <v>0</v>
      </c>
      <c r="F163" s="12"/>
      <c r="P163" s="9"/>
    </row>
    <row r="164" spans="1:16">
      <c r="A164" s="12"/>
      <c r="B164" s="11" t="s">
        <v>805</v>
      </c>
      <c r="C164" s="11"/>
      <c r="D164" s="11" t="s">
        <v>599</v>
      </c>
      <c r="E164" s="6">
        <v>0</v>
      </c>
      <c r="F164" s="12"/>
      <c r="P164" s="9"/>
    </row>
    <row r="165" spans="1:16">
      <c r="A165" s="12"/>
      <c r="B165" s="11" t="s">
        <v>806</v>
      </c>
      <c r="C165" s="11"/>
      <c r="D165" s="11" t="s">
        <v>567</v>
      </c>
      <c r="E165" s="6">
        <v>0</v>
      </c>
      <c r="F165" s="12"/>
      <c r="P165" s="9"/>
    </row>
    <row r="166" spans="1:16">
      <c r="A166" s="12"/>
      <c r="B166" s="11" t="s">
        <v>807</v>
      </c>
      <c r="C166" s="11"/>
      <c r="D166" s="11" t="s">
        <v>794</v>
      </c>
      <c r="E166" s="6">
        <v>0</v>
      </c>
      <c r="F166" s="12"/>
      <c r="P166" s="9"/>
    </row>
    <row r="167" spans="1:16">
      <c r="A167" s="12"/>
      <c r="B167" s="11" t="s">
        <v>808</v>
      </c>
      <c r="C167" s="11"/>
      <c r="D167" s="11" t="s">
        <v>565</v>
      </c>
      <c r="E167" s="6">
        <v>0</v>
      </c>
      <c r="F167" s="12"/>
      <c r="P167" s="9"/>
    </row>
    <row r="168" spans="1:16">
      <c r="A168" s="12"/>
      <c r="B168" s="11" t="s">
        <v>809</v>
      </c>
      <c r="C168" s="11"/>
      <c r="D168" s="11" t="s">
        <v>664</v>
      </c>
      <c r="E168" s="6">
        <v>0</v>
      </c>
      <c r="F168" s="12"/>
      <c r="P168" s="9"/>
    </row>
    <row r="169" spans="1:16">
      <c r="A169" s="12"/>
      <c r="B169" s="11" t="s">
        <v>810</v>
      </c>
      <c r="C169" s="11"/>
      <c r="D169" s="11" t="s">
        <v>615</v>
      </c>
      <c r="E169" s="6">
        <v>0</v>
      </c>
      <c r="F169" s="12"/>
      <c r="P169" s="9"/>
    </row>
    <row r="170" spans="1:16">
      <c r="A170" s="12"/>
      <c r="B170" s="11" t="s">
        <v>811</v>
      </c>
      <c r="C170" s="11"/>
      <c r="D170" s="11" t="s">
        <v>617</v>
      </c>
      <c r="E170" s="6">
        <v>0</v>
      </c>
      <c r="F170" s="12"/>
      <c r="P170" s="9"/>
    </row>
    <row r="171" spans="1:16">
      <c r="A171" s="12"/>
      <c r="B171" s="11" t="s">
        <v>812</v>
      </c>
      <c r="C171" s="11"/>
      <c r="D171" s="11" t="s">
        <v>813</v>
      </c>
      <c r="E171" s="6">
        <v>0</v>
      </c>
      <c r="F171" s="12"/>
      <c r="P171" s="9"/>
    </row>
    <row r="172" spans="1:16">
      <c r="A172" s="12"/>
      <c r="B172" s="11" t="s">
        <v>814</v>
      </c>
      <c r="C172" s="11"/>
      <c r="D172" s="11" t="s">
        <v>700</v>
      </c>
      <c r="E172" s="6">
        <v>0</v>
      </c>
      <c r="F172" s="12"/>
      <c r="P172" s="9"/>
    </row>
    <row r="173" spans="1:16">
      <c r="A173" s="12"/>
      <c r="B173" s="11" t="s">
        <v>815</v>
      </c>
      <c r="C173" s="11"/>
      <c r="D173" s="11" t="s">
        <v>691</v>
      </c>
      <c r="E173" s="6">
        <v>0</v>
      </c>
      <c r="F173" s="12"/>
      <c r="P173" s="9"/>
    </row>
    <row r="174" spans="1:16">
      <c r="A174" s="12"/>
      <c r="B174" s="11" t="s">
        <v>816</v>
      </c>
      <c r="C174" s="11"/>
      <c r="D174" s="11" t="s">
        <v>817</v>
      </c>
      <c r="E174" s="6">
        <v>0</v>
      </c>
      <c r="F174" s="12"/>
      <c r="P174" s="9"/>
    </row>
    <row r="175" spans="1:16">
      <c r="A175" s="12"/>
      <c r="B175" s="11" t="s">
        <v>818</v>
      </c>
      <c r="C175" s="11"/>
      <c r="D175" s="11" t="s">
        <v>817</v>
      </c>
      <c r="E175" s="6">
        <v>0</v>
      </c>
      <c r="F175" s="12"/>
      <c r="P175" s="9"/>
    </row>
    <row r="176" spans="1:16">
      <c r="A176" s="12"/>
      <c r="B176" s="11" t="s">
        <v>819</v>
      </c>
      <c r="C176" s="11"/>
      <c r="D176" s="11" t="s">
        <v>783</v>
      </c>
      <c r="E176" s="6">
        <v>0</v>
      </c>
      <c r="F176" s="12"/>
      <c r="P176" s="9"/>
    </row>
    <row r="177" spans="1:16">
      <c r="A177" s="12"/>
      <c r="B177" s="11" t="s">
        <v>820</v>
      </c>
      <c r="C177" s="11"/>
      <c r="D177" s="11" t="s">
        <v>794</v>
      </c>
      <c r="E177" s="6">
        <v>0</v>
      </c>
      <c r="F177" s="12"/>
      <c r="P177" s="9"/>
    </row>
    <row r="178" spans="1:16">
      <c r="A178" s="12"/>
      <c r="B178" s="11" t="s">
        <v>821</v>
      </c>
      <c r="C178" s="11"/>
      <c r="D178" s="11" t="s">
        <v>565</v>
      </c>
      <c r="E178" s="6">
        <v>0</v>
      </c>
      <c r="F178" s="12"/>
      <c r="P178" s="9"/>
    </row>
    <row r="179" spans="1:16">
      <c r="A179" s="12"/>
      <c r="B179" s="11" t="s">
        <v>822</v>
      </c>
      <c r="C179" s="11"/>
      <c r="D179" s="11" t="s">
        <v>718</v>
      </c>
      <c r="E179" s="6">
        <v>0</v>
      </c>
      <c r="F179" s="12"/>
      <c r="P179" s="9"/>
    </row>
    <row r="180" spans="1:16">
      <c r="A180" s="12"/>
      <c r="B180" s="11" t="s">
        <v>823</v>
      </c>
      <c r="C180" s="11"/>
      <c r="D180" s="11" t="s">
        <v>824</v>
      </c>
      <c r="E180" s="6">
        <v>0</v>
      </c>
      <c r="F180" s="12"/>
      <c r="P180" s="9"/>
    </row>
    <row r="181" spans="1:16">
      <c r="A181" s="12"/>
      <c r="B181" s="11" t="s">
        <v>825</v>
      </c>
      <c r="C181" s="11"/>
      <c r="D181" s="11" t="s">
        <v>826</v>
      </c>
      <c r="E181" s="6">
        <v>0</v>
      </c>
      <c r="F181" s="12"/>
      <c r="P181" s="9"/>
    </row>
    <row r="182" spans="1:16">
      <c r="A182" s="12"/>
      <c r="B182" s="11" t="s">
        <v>827</v>
      </c>
      <c r="C182" s="11"/>
      <c r="D182" s="11" t="s">
        <v>741</v>
      </c>
      <c r="E182" s="6">
        <v>0</v>
      </c>
      <c r="F182" s="12"/>
      <c r="P182" s="9"/>
    </row>
    <row r="183" spans="1:16">
      <c r="A183" s="12"/>
      <c r="B183" s="11" t="s">
        <v>828</v>
      </c>
      <c r="C183" s="11"/>
      <c r="D183" s="11" t="s">
        <v>741</v>
      </c>
      <c r="E183" s="6">
        <v>0</v>
      </c>
      <c r="F183" s="12"/>
      <c r="P183" s="9"/>
    </row>
    <row r="184" spans="1:16">
      <c r="A184" s="12"/>
      <c r="B184" s="11" t="s">
        <v>829</v>
      </c>
      <c r="C184" s="11"/>
      <c r="D184" s="11" t="s">
        <v>830</v>
      </c>
      <c r="E184" s="6">
        <v>-0.31818181818181801</v>
      </c>
      <c r="F184" s="12"/>
      <c r="P184" s="9"/>
    </row>
    <row r="185" spans="1:16">
      <c r="A185" s="12"/>
      <c r="B185" s="11" t="s">
        <v>831</v>
      </c>
      <c r="C185" s="11"/>
      <c r="D185" s="11" t="s">
        <v>832</v>
      </c>
      <c r="E185" s="6">
        <v>-0.31818181818181801</v>
      </c>
      <c r="F185" s="12"/>
      <c r="P185" s="9"/>
    </row>
    <row r="186" spans="1:16">
      <c r="A186" s="12"/>
      <c r="B186" s="11" t="s">
        <v>833</v>
      </c>
      <c r="C186" s="11"/>
      <c r="D186" s="11" t="s">
        <v>739</v>
      </c>
      <c r="E186" s="6">
        <v>-0.99429086538461497</v>
      </c>
      <c r="F186" s="12"/>
      <c r="P186" s="9"/>
    </row>
    <row r="187" spans="1:16">
      <c r="A187" s="12"/>
      <c r="B187" s="11" t="s">
        <v>834</v>
      </c>
      <c r="C187" s="11"/>
      <c r="D187" s="11" t="s">
        <v>621</v>
      </c>
      <c r="E187" s="6">
        <v>-0.99399038461538503</v>
      </c>
      <c r="F187" s="12"/>
      <c r="K187" s="9"/>
      <c r="P187" s="9"/>
    </row>
    <row r="188" spans="1:16">
      <c r="A188" s="12"/>
      <c r="B188" s="11" t="s">
        <v>835</v>
      </c>
      <c r="C188" s="11"/>
      <c r="D188" s="11" t="s">
        <v>781</v>
      </c>
      <c r="E188" s="6">
        <v>-0.13043478260869601</v>
      </c>
      <c r="F188" s="12"/>
      <c r="K188" s="9"/>
      <c r="P188" s="9"/>
    </row>
    <row r="189" spans="1:16">
      <c r="A189" s="12"/>
      <c r="B189" s="11" t="s">
        <v>836</v>
      </c>
      <c r="C189" s="11"/>
      <c r="D189" s="11" t="s">
        <v>837</v>
      </c>
      <c r="E189" s="6">
        <v>0</v>
      </c>
      <c r="F189" s="12"/>
      <c r="P189" s="9"/>
    </row>
    <row r="190" spans="1:16">
      <c r="A190" s="12"/>
      <c r="B190" s="11" t="s">
        <v>838</v>
      </c>
      <c r="C190" s="11"/>
      <c r="D190" s="11" t="s">
        <v>839</v>
      </c>
      <c r="E190" s="6">
        <v>0</v>
      </c>
      <c r="F190" s="12"/>
      <c r="P190" s="9"/>
    </row>
    <row r="191" spans="1:16">
      <c r="A191" s="12"/>
      <c r="B191" s="11" t="s">
        <v>840</v>
      </c>
      <c r="C191" s="11"/>
      <c r="D191" s="11" t="s">
        <v>839</v>
      </c>
      <c r="E191" s="6">
        <v>0</v>
      </c>
      <c r="F191" s="12"/>
      <c r="P191" s="9"/>
    </row>
    <row r="192" spans="1:16">
      <c r="A192" s="12"/>
      <c r="B192" s="11" t="s">
        <v>841</v>
      </c>
      <c r="C192" s="11"/>
      <c r="D192" s="11" t="s">
        <v>630</v>
      </c>
      <c r="E192" s="6">
        <v>0</v>
      </c>
      <c r="F192" s="12"/>
      <c r="P192" s="9"/>
    </row>
    <row r="193" spans="1:16">
      <c r="A193" s="12"/>
      <c r="B193" s="11" t="s">
        <v>842</v>
      </c>
      <c r="C193" s="11"/>
      <c r="D193" s="11" t="s">
        <v>638</v>
      </c>
      <c r="E193" s="6">
        <v>0</v>
      </c>
      <c r="F193" s="12"/>
      <c r="P193" s="9"/>
    </row>
    <row r="194" spans="1:16">
      <c r="A194" s="12"/>
      <c r="B194" s="11" t="s">
        <v>843</v>
      </c>
      <c r="C194" s="11"/>
      <c r="D194" s="11" t="s">
        <v>844</v>
      </c>
      <c r="E194" s="6">
        <v>0</v>
      </c>
      <c r="F194" s="12"/>
      <c r="P194" s="9"/>
    </row>
    <row r="195" spans="1:16">
      <c r="A195" s="12"/>
      <c r="B195" s="11" t="s">
        <v>845</v>
      </c>
      <c r="C195" s="11"/>
      <c r="D195" s="11" t="s">
        <v>844</v>
      </c>
      <c r="E195" s="6">
        <v>0</v>
      </c>
      <c r="F195" s="12"/>
      <c r="P195" s="9"/>
    </row>
    <row r="196" spans="1:16">
      <c r="A196" s="12"/>
      <c r="B196" s="11" t="s">
        <v>846</v>
      </c>
      <c r="C196" s="11"/>
      <c r="D196" s="11" t="s">
        <v>844</v>
      </c>
      <c r="E196" s="6">
        <v>0</v>
      </c>
      <c r="F196" s="12"/>
      <c r="P196" s="9"/>
    </row>
    <row r="197" spans="1:16">
      <c r="A197" s="12"/>
      <c r="B197" s="11" t="s">
        <v>847</v>
      </c>
      <c r="C197" s="11"/>
      <c r="D197" s="11" t="s">
        <v>844</v>
      </c>
      <c r="E197" s="6">
        <v>0</v>
      </c>
      <c r="F197" s="12"/>
      <c r="P197" s="9"/>
    </row>
    <row r="198" spans="1:16">
      <c r="A198" s="12"/>
      <c r="B198" s="11" t="s">
        <v>848</v>
      </c>
      <c r="C198" s="11"/>
      <c r="D198" s="11" t="s">
        <v>844</v>
      </c>
      <c r="E198" s="6">
        <v>0</v>
      </c>
      <c r="F198" s="12"/>
      <c r="P198" s="9"/>
    </row>
    <row r="199" spans="1:16">
      <c r="A199" s="12"/>
      <c r="B199" s="11" t="s">
        <v>849</v>
      </c>
      <c r="C199" s="11"/>
      <c r="D199" s="11" t="s">
        <v>844</v>
      </c>
      <c r="E199" s="6">
        <v>0</v>
      </c>
      <c r="F199" s="12"/>
      <c r="P199" s="9"/>
    </row>
    <row r="200" spans="1:16">
      <c r="A200" s="12"/>
      <c r="B200" s="11" t="s">
        <v>850</v>
      </c>
      <c r="C200" s="11"/>
      <c r="D200" s="11" t="s">
        <v>824</v>
      </c>
      <c r="E200" s="6">
        <v>0</v>
      </c>
      <c r="F200" s="12"/>
      <c r="P200" s="9"/>
    </row>
    <row r="201" spans="1:16">
      <c r="A201" s="12"/>
      <c r="B201" s="11" t="s">
        <v>851</v>
      </c>
      <c r="C201" s="11"/>
      <c r="D201" s="11" t="s">
        <v>826</v>
      </c>
      <c r="E201" s="6">
        <v>0</v>
      </c>
      <c r="F201" s="12"/>
      <c r="P201" s="9"/>
    </row>
    <row r="202" spans="1:16">
      <c r="A202" s="12"/>
      <c r="B202" s="11" t="s">
        <v>852</v>
      </c>
      <c r="C202" s="11"/>
      <c r="D202" s="11" t="s">
        <v>666</v>
      </c>
      <c r="E202" s="6">
        <v>0</v>
      </c>
      <c r="F202" s="12"/>
      <c r="P202" s="9"/>
    </row>
    <row r="203" spans="1:16">
      <c r="A203" s="12"/>
      <c r="B203" s="11" t="s">
        <v>853</v>
      </c>
      <c r="C203" s="11"/>
      <c r="D203" s="11" t="s">
        <v>666</v>
      </c>
      <c r="E203" s="6">
        <v>0</v>
      </c>
      <c r="F203" s="12"/>
      <c r="P203" s="9"/>
    </row>
    <row r="204" spans="1:16">
      <c r="A204" s="12"/>
      <c r="B204" s="11" t="s">
        <v>854</v>
      </c>
      <c r="C204" s="11"/>
      <c r="D204" s="11" t="s">
        <v>855</v>
      </c>
      <c r="E204" s="6">
        <v>0</v>
      </c>
      <c r="F204" s="12"/>
      <c r="P204" s="9"/>
    </row>
    <row r="205" spans="1:16">
      <c r="A205" s="12"/>
      <c r="B205" s="11" t="s">
        <v>856</v>
      </c>
      <c r="C205" s="11"/>
      <c r="D205" s="11" t="s">
        <v>661</v>
      </c>
      <c r="E205" s="6">
        <v>0</v>
      </c>
      <c r="F205" s="12"/>
      <c r="P205" s="9"/>
    </row>
    <row r="206" spans="1:16">
      <c r="A206" s="12"/>
      <c r="B206" s="11" t="s">
        <v>857</v>
      </c>
      <c r="C206" s="11"/>
      <c r="D206" s="11" t="s">
        <v>630</v>
      </c>
      <c r="E206" s="6">
        <v>0</v>
      </c>
      <c r="F206" s="12"/>
      <c r="P206" s="9"/>
    </row>
    <row r="207" spans="1:16">
      <c r="A207" s="12"/>
      <c r="B207" s="11" t="s">
        <v>858</v>
      </c>
      <c r="C207" s="11"/>
      <c r="D207" s="11" t="s">
        <v>859</v>
      </c>
      <c r="E207" s="6">
        <v>0</v>
      </c>
      <c r="F207" s="12"/>
      <c r="P207" s="9"/>
    </row>
    <row r="208" spans="1:16">
      <c r="A208" s="12"/>
      <c r="B208" s="11" t="s">
        <v>860</v>
      </c>
      <c r="C208" s="11"/>
      <c r="D208" s="11" t="s">
        <v>638</v>
      </c>
      <c r="E208" s="6">
        <v>0</v>
      </c>
      <c r="F208" s="12"/>
      <c r="P208" s="9"/>
    </row>
    <row r="209" spans="1:16">
      <c r="A209" s="12"/>
      <c r="B209" s="11" t="s">
        <v>861</v>
      </c>
      <c r="C209" s="11"/>
      <c r="D209" s="11" t="s">
        <v>592</v>
      </c>
      <c r="E209" s="6">
        <v>0</v>
      </c>
      <c r="F209" s="12"/>
      <c r="P209" s="9"/>
    </row>
    <row r="210" spans="1:16">
      <c r="A210" s="12"/>
      <c r="B210" s="11" t="s">
        <v>862</v>
      </c>
      <c r="C210" s="11"/>
      <c r="D210" s="11" t="s">
        <v>863</v>
      </c>
      <c r="E210" s="6">
        <v>0</v>
      </c>
      <c r="F210" s="12"/>
      <c r="P210" s="9"/>
    </row>
    <row r="211" spans="1:16">
      <c r="A211" s="12"/>
      <c r="B211" s="11" t="s">
        <v>864</v>
      </c>
      <c r="C211" s="11"/>
      <c r="D211" s="11" t="s">
        <v>794</v>
      </c>
      <c r="E211" s="6">
        <v>0</v>
      </c>
      <c r="F211" s="12"/>
      <c r="P211" s="9"/>
    </row>
    <row r="212" spans="1:16">
      <c r="A212" s="12"/>
      <c r="B212" s="11" t="s">
        <v>865</v>
      </c>
      <c r="C212" s="11"/>
      <c r="D212" s="11" t="s">
        <v>565</v>
      </c>
      <c r="E212" s="6">
        <v>0</v>
      </c>
      <c r="F212" s="12"/>
      <c r="P212" s="9"/>
    </row>
    <row r="213" spans="1:16">
      <c r="A213" s="12"/>
      <c r="B213" s="11" t="s">
        <v>866</v>
      </c>
      <c r="C213" s="11"/>
      <c r="D213" s="11" t="s">
        <v>781</v>
      </c>
      <c r="E213" s="6">
        <v>0</v>
      </c>
      <c r="F213" s="12"/>
      <c r="P213" s="9"/>
    </row>
    <row r="214" spans="1:16">
      <c r="A214" s="12"/>
      <c r="B214" s="11" t="s">
        <v>867</v>
      </c>
      <c r="C214" s="11"/>
      <c r="D214" s="11" t="s">
        <v>590</v>
      </c>
      <c r="E214" s="6">
        <v>0</v>
      </c>
      <c r="F214" s="12"/>
      <c r="P214" s="9"/>
    </row>
    <row r="215" spans="1:16">
      <c r="A215" s="12"/>
      <c r="B215" s="11" t="s">
        <v>868</v>
      </c>
      <c r="C215" s="11"/>
      <c r="D215" s="11" t="s">
        <v>794</v>
      </c>
      <c r="E215" s="6">
        <v>0</v>
      </c>
      <c r="F215" s="12"/>
      <c r="P215" s="9"/>
    </row>
    <row r="216" spans="1:16">
      <c r="A216" s="12"/>
      <c r="B216" s="11" t="s">
        <v>869</v>
      </c>
      <c r="C216" s="11"/>
      <c r="D216" s="11" t="s">
        <v>781</v>
      </c>
      <c r="E216" s="6">
        <v>0</v>
      </c>
      <c r="F216" s="12"/>
      <c r="P216" s="9"/>
    </row>
    <row r="217" spans="1:16">
      <c r="A217" s="12"/>
      <c r="B217" s="11" t="s">
        <v>870</v>
      </c>
      <c r="C217" s="11"/>
      <c r="D217" s="11" t="s">
        <v>871</v>
      </c>
      <c r="E217" s="6">
        <v>0</v>
      </c>
      <c r="F217" s="12"/>
      <c r="P217" s="9"/>
    </row>
    <row r="218" spans="1:16">
      <c r="A218" s="12"/>
      <c r="B218" s="11" t="s">
        <v>872</v>
      </c>
      <c r="C218" s="11"/>
      <c r="D218" s="11" t="s">
        <v>871</v>
      </c>
      <c r="E218" s="6">
        <v>0</v>
      </c>
      <c r="F218" s="12"/>
      <c r="P218" s="9"/>
    </row>
    <row r="219" spans="1:16">
      <c r="A219" s="12"/>
      <c r="B219" s="11" t="s">
        <v>873</v>
      </c>
      <c r="C219" s="11"/>
      <c r="D219" s="11" t="s">
        <v>874</v>
      </c>
      <c r="E219" s="6">
        <v>0</v>
      </c>
      <c r="F219" s="12"/>
      <c r="P219" s="9"/>
    </row>
    <row r="220" spans="1:16">
      <c r="A220" s="12"/>
      <c r="B220" s="11" t="s">
        <v>875</v>
      </c>
      <c r="C220" s="11"/>
      <c r="D220" s="11" t="s">
        <v>876</v>
      </c>
      <c r="E220" s="6">
        <v>0</v>
      </c>
      <c r="F220" s="12"/>
      <c r="P220" s="9"/>
    </row>
    <row r="221" spans="1:16">
      <c r="A221" s="12"/>
      <c r="B221" s="11" t="s">
        <v>877</v>
      </c>
      <c r="C221" s="11"/>
      <c r="D221" s="11" t="s">
        <v>783</v>
      </c>
      <c r="E221" s="6">
        <v>0</v>
      </c>
      <c r="F221" s="12"/>
      <c r="P221" s="9"/>
    </row>
    <row r="222" spans="1:16">
      <c r="A222" s="12"/>
      <c r="B222" s="11" t="s">
        <v>878</v>
      </c>
      <c r="C222" s="11"/>
      <c r="D222" s="11" t="s">
        <v>783</v>
      </c>
      <c r="E222" s="6">
        <v>0</v>
      </c>
      <c r="F222" s="12"/>
      <c r="P222" s="9"/>
    </row>
    <row r="223" spans="1:16">
      <c r="A223" s="12"/>
      <c r="B223" s="11" t="s">
        <v>879</v>
      </c>
      <c r="C223" s="11"/>
      <c r="D223" s="11" t="s">
        <v>880</v>
      </c>
      <c r="E223" s="6">
        <v>0</v>
      </c>
      <c r="F223" s="12"/>
      <c r="P223" s="9"/>
    </row>
    <row r="224" spans="1:16">
      <c r="A224" s="12"/>
      <c r="B224" s="11" t="s">
        <v>881</v>
      </c>
      <c r="C224" s="11"/>
      <c r="D224" s="11" t="s">
        <v>882</v>
      </c>
      <c r="E224" s="6">
        <v>0</v>
      </c>
      <c r="F224" s="12"/>
      <c r="P224" s="9"/>
    </row>
    <row r="225" spans="1:16">
      <c r="A225" s="12"/>
      <c r="B225" s="11" t="s">
        <v>883</v>
      </c>
      <c r="C225" s="11"/>
      <c r="D225" s="11" t="s">
        <v>882</v>
      </c>
      <c r="E225" s="6">
        <v>0</v>
      </c>
      <c r="F225" s="12"/>
      <c r="P225" s="9"/>
    </row>
    <row r="226" spans="1:16">
      <c r="A226" s="12"/>
      <c r="B226" s="11" t="s">
        <v>884</v>
      </c>
      <c r="C226" s="11"/>
      <c r="D226" s="11" t="s">
        <v>885</v>
      </c>
      <c r="E226" s="6">
        <v>0</v>
      </c>
      <c r="F226" s="12"/>
      <c r="P226" s="9"/>
    </row>
    <row r="227" spans="1:16">
      <c r="A227" s="12"/>
      <c r="B227" s="11" t="s">
        <v>886</v>
      </c>
      <c r="C227" s="11"/>
      <c r="D227" s="11" t="s">
        <v>885</v>
      </c>
      <c r="E227" s="6">
        <v>0</v>
      </c>
      <c r="F227" s="12"/>
      <c r="P227" s="9"/>
    </row>
    <row r="228" spans="1:16">
      <c r="A228" s="12"/>
      <c r="B228" s="11" t="s">
        <v>887</v>
      </c>
      <c r="C228" s="11"/>
      <c r="D228" s="11" t="s">
        <v>885</v>
      </c>
      <c r="E228" s="6">
        <v>0</v>
      </c>
      <c r="F228" s="12"/>
      <c r="P228" s="9"/>
    </row>
    <row r="229" spans="1:16">
      <c r="A229" s="12"/>
      <c r="B229" s="11" t="s">
        <v>888</v>
      </c>
      <c r="C229" s="11"/>
      <c r="D229" s="11" t="s">
        <v>885</v>
      </c>
      <c r="E229" s="6">
        <v>0</v>
      </c>
      <c r="F229" s="12"/>
      <c r="P229" s="9"/>
    </row>
    <row r="230" spans="1:16">
      <c r="A230" s="12"/>
      <c r="B230" s="11" t="s">
        <v>889</v>
      </c>
      <c r="C230" s="11"/>
      <c r="D230" s="11" t="s">
        <v>752</v>
      </c>
      <c r="E230" s="6">
        <v>0</v>
      </c>
      <c r="F230" s="12"/>
      <c r="P230" s="9"/>
    </row>
    <row r="231" spans="1:16">
      <c r="A231" s="12"/>
      <c r="B231" s="11" t="s">
        <v>890</v>
      </c>
      <c r="C231" s="11"/>
      <c r="D231" s="11" t="s">
        <v>752</v>
      </c>
      <c r="E231" s="6">
        <v>0</v>
      </c>
      <c r="F231" s="12"/>
      <c r="P231" s="9"/>
    </row>
    <row r="232" spans="1:16">
      <c r="A232" s="12"/>
      <c r="B232" s="11" t="s">
        <v>891</v>
      </c>
      <c r="C232" s="11"/>
      <c r="D232" s="11" t="s">
        <v>892</v>
      </c>
      <c r="E232" s="6">
        <v>0</v>
      </c>
      <c r="F232" s="12"/>
      <c r="P232" s="9"/>
    </row>
    <row r="233" spans="1:16">
      <c r="A233" s="12"/>
      <c r="B233" s="11" t="s">
        <v>893</v>
      </c>
      <c r="C233" s="11"/>
      <c r="D233" s="11" t="s">
        <v>801</v>
      </c>
      <c r="E233" s="6">
        <v>0</v>
      </c>
      <c r="F233" s="12"/>
      <c r="P233" s="9"/>
    </row>
    <row r="234" spans="1:16">
      <c r="A234" s="12"/>
      <c r="B234" s="11" t="s">
        <v>894</v>
      </c>
      <c r="C234" s="11"/>
      <c r="D234" s="11" t="s">
        <v>801</v>
      </c>
      <c r="E234" s="6">
        <v>0</v>
      </c>
      <c r="F234" s="12"/>
      <c r="P234" s="9"/>
    </row>
    <row r="235" spans="1:16">
      <c r="A235" s="12"/>
      <c r="B235" s="11" t="s">
        <v>895</v>
      </c>
      <c r="C235" s="11"/>
      <c r="D235" s="11" t="s">
        <v>896</v>
      </c>
      <c r="E235" s="6">
        <v>0</v>
      </c>
      <c r="F235" s="12"/>
      <c r="P235" s="9"/>
    </row>
    <row r="236" spans="1:16">
      <c r="A236" s="12"/>
      <c r="B236" s="11" t="s">
        <v>897</v>
      </c>
      <c r="C236" s="11"/>
      <c r="D236" s="11" t="s">
        <v>561</v>
      </c>
      <c r="E236" s="6">
        <v>0</v>
      </c>
      <c r="F236" s="12"/>
      <c r="P236" s="9"/>
    </row>
    <row r="237" spans="1:16">
      <c r="A237" s="12"/>
      <c r="B237" s="11" t="s">
        <v>898</v>
      </c>
      <c r="C237" s="11"/>
      <c r="D237" s="11" t="s">
        <v>590</v>
      </c>
      <c r="E237" s="6">
        <v>0</v>
      </c>
      <c r="F237" s="12"/>
      <c r="P237" s="9"/>
    </row>
    <row r="238" spans="1:16">
      <c r="A238" s="12"/>
      <c r="B238" s="11" t="s">
        <v>899</v>
      </c>
      <c r="C238" s="11"/>
      <c r="D238" s="11" t="s">
        <v>900</v>
      </c>
      <c r="E238" s="6">
        <v>0</v>
      </c>
      <c r="F238" s="12"/>
      <c r="P238" s="9"/>
    </row>
    <row r="239" spans="1:16">
      <c r="A239" s="12"/>
      <c r="B239" s="11" t="s">
        <v>901</v>
      </c>
      <c r="C239" s="11"/>
      <c r="D239" s="11" t="s">
        <v>902</v>
      </c>
      <c r="E239" s="6">
        <v>0</v>
      </c>
      <c r="F239" s="12"/>
      <c r="P239" s="9"/>
    </row>
    <row r="240" spans="1:16">
      <c r="A240" s="12"/>
      <c r="B240" s="11" t="s">
        <v>903</v>
      </c>
      <c r="C240" s="11"/>
      <c r="D240" s="11" t="s">
        <v>902</v>
      </c>
      <c r="E240" s="6">
        <v>0</v>
      </c>
      <c r="F240" s="12"/>
      <c r="P240" s="9"/>
    </row>
    <row r="241" spans="1:16">
      <c r="A241" s="12"/>
      <c r="B241" s="11" t="s">
        <v>904</v>
      </c>
      <c r="C241" s="11"/>
      <c r="D241" s="11" t="s">
        <v>905</v>
      </c>
      <c r="E241" s="6">
        <v>0</v>
      </c>
      <c r="F241" s="12"/>
      <c r="P241" s="9"/>
    </row>
    <row r="242" spans="1:16">
      <c r="A242" s="12"/>
      <c r="B242" s="11" t="s">
        <v>906</v>
      </c>
      <c r="C242" s="11"/>
      <c r="D242" s="11" t="s">
        <v>907</v>
      </c>
      <c r="E242" s="6">
        <v>0</v>
      </c>
      <c r="F242" s="12"/>
      <c r="P242" s="9"/>
    </row>
    <row r="243" spans="1:16">
      <c r="A243" s="12"/>
      <c r="B243" s="11" t="s">
        <v>908</v>
      </c>
      <c r="C243" s="11"/>
      <c r="D243" s="11" t="s">
        <v>909</v>
      </c>
      <c r="E243" s="6">
        <v>0</v>
      </c>
      <c r="F243" s="12"/>
      <c r="P243" s="9"/>
    </row>
    <row r="244" spans="1:16">
      <c r="A244" s="12"/>
      <c r="B244" s="11" t="s">
        <v>910</v>
      </c>
      <c r="C244" s="11"/>
      <c r="D244" s="11" t="s">
        <v>911</v>
      </c>
      <c r="E244" s="6">
        <v>0</v>
      </c>
      <c r="F244" s="12"/>
      <c r="P244" s="9"/>
    </row>
    <row r="245" spans="1:16">
      <c r="A245" s="12"/>
      <c r="B245" s="11" t="s">
        <v>912</v>
      </c>
      <c r="C245" s="11"/>
      <c r="D245" s="11" t="s">
        <v>913</v>
      </c>
      <c r="E245" s="6">
        <v>0</v>
      </c>
      <c r="F245" s="12"/>
      <c r="P245" s="9"/>
    </row>
    <row r="246" spans="1:16">
      <c r="A246" s="12"/>
      <c r="B246" s="11" t="s">
        <v>914</v>
      </c>
      <c r="C246" s="11"/>
      <c r="D246" s="11" t="s">
        <v>913</v>
      </c>
      <c r="E246" s="6">
        <v>0</v>
      </c>
      <c r="F246" s="12"/>
      <c r="P246" s="9"/>
    </row>
    <row r="247" spans="1:16">
      <c r="A247" s="12"/>
      <c r="B247" s="11" t="s">
        <v>915</v>
      </c>
      <c r="C247" s="11"/>
      <c r="D247" s="11" t="s">
        <v>569</v>
      </c>
      <c r="E247" s="6">
        <v>0</v>
      </c>
      <c r="F247" s="12"/>
      <c r="P247" s="9"/>
    </row>
    <row r="248" spans="1:16">
      <c r="A248" s="12"/>
      <c r="B248" s="11" t="s">
        <v>916</v>
      </c>
      <c r="C248" s="11"/>
      <c r="D248" s="11" t="s">
        <v>569</v>
      </c>
      <c r="E248" s="6">
        <v>0</v>
      </c>
      <c r="F248" s="12"/>
      <c r="P248" s="9"/>
    </row>
    <row r="249" spans="1:16">
      <c r="A249" s="12"/>
      <c r="B249" s="11" t="s">
        <v>917</v>
      </c>
      <c r="C249" s="11"/>
      <c r="D249" s="11" t="s">
        <v>768</v>
      </c>
      <c r="E249" s="6">
        <v>0</v>
      </c>
      <c r="F249" s="12"/>
      <c r="P249" s="9"/>
    </row>
    <row r="250" spans="1:16">
      <c r="A250" s="12"/>
      <c r="B250" s="11" t="s">
        <v>918</v>
      </c>
      <c r="C250" s="11"/>
      <c r="D250" s="11" t="s">
        <v>919</v>
      </c>
      <c r="E250" s="6">
        <v>0</v>
      </c>
      <c r="F250" s="12"/>
      <c r="P250" s="9"/>
    </row>
    <row r="251" spans="1:16">
      <c r="A251" s="12"/>
      <c r="B251" s="11" t="s">
        <v>920</v>
      </c>
      <c r="C251" s="11"/>
      <c r="D251" s="11" t="s">
        <v>919</v>
      </c>
      <c r="E251" s="6">
        <v>0</v>
      </c>
      <c r="F251" s="12"/>
      <c r="P251" s="9"/>
    </row>
    <row r="252" spans="1:16">
      <c r="A252" s="12"/>
      <c r="B252" s="11" t="s">
        <v>921</v>
      </c>
      <c r="C252" s="11"/>
      <c r="D252" s="11" t="s">
        <v>621</v>
      </c>
      <c r="E252" s="6">
        <v>0</v>
      </c>
      <c r="F252" s="12"/>
      <c r="P252" s="9"/>
    </row>
    <row r="253" spans="1:16">
      <c r="A253" s="12"/>
      <c r="B253" s="11" t="s">
        <v>922</v>
      </c>
      <c r="C253" s="11"/>
      <c r="D253" s="11" t="s">
        <v>781</v>
      </c>
      <c r="E253" s="6">
        <v>0</v>
      </c>
      <c r="F253" s="12"/>
      <c r="P253" s="9"/>
    </row>
    <row r="254" spans="1:16">
      <c r="A254" s="12"/>
      <c r="B254" s="11" t="s">
        <v>923</v>
      </c>
      <c r="C254" s="11"/>
      <c r="D254" s="11" t="s">
        <v>924</v>
      </c>
      <c r="E254" s="6">
        <v>0</v>
      </c>
      <c r="F254" s="12"/>
      <c r="P254" s="9"/>
    </row>
    <row r="255" spans="1:16">
      <c r="A255" s="12"/>
      <c r="B255" s="11" t="s">
        <v>925</v>
      </c>
      <c r="C255" s="11"/>
      <c r="D255" s="11" t="s">
        <v>830</v>
      </c>
      <c r="E255" s="6">
        <v>0</v>
      </c>
      <c r="F255" s="12"/>
      <c r="P255" s="9"/>
    </row>
    <row r="256" spans="1:16">
      <c r="A256" s="12"/>
      <c r="B256" s="11" t="s">
        <v>926</v>
      </c>
      <c r="C256" s="11"/>
      <c r="D256" s="11" t="s">
        <v>830</v>
      </c>
      <c r="E256" s="6">
        <v>0</v>
      </c>
      <c r="F256" s="12"/>
      <c r="P256" s="9"/>
    </row>
    <row r="257" spans="1:16">
      <c r="A257" s="12"/>
      <c r="B257" s="11" t="s">
        <v>927</v>
      </c>
      <c r="C257" s="11"/>
      <c r="D257" s="11" t="s">
        <v>661</v>
      </c>
      <c r="E257" s="6">
        <v>0</v>
      </c>
      <c r="F257" s="12"/>
      <c r="P257" s="9"/>
    </row>
    <row r="258" spans="1:16">
      <c r="A258" s="12"/>
      <c r="B258" s="11" t="s">
        <v>928</v>
      </c>
      <c r="C258" s="11"/>
      <c r="D258" s="11" t="s">
        <v>630</v>
      </c>
      <c r="E258" s="6">
        <v>0</v>
      </c>
      <c r="F258" s="12"/>
      <c r="P258" s="9"/>
    </row>
    <row r="259" spans="1:16">
      <c r="A259" s="12"/>
      <c r="B259" s="11" t="s">
        <v>929</v>
      </c>
      <c r="C259" s="11"/>
      <c r="D259" s="11" t="s">
        <v>930</v>
      </c>
      <c r="E259" s="6">
        <v>0</v>
      </c>
      <c r="F259" s="12"/>
      <c r="P259" s="9"/>
    </row>
    <row r="260" spans="1:16">
      <c r="A260" s="12"/>
      <c r="B260" s="11" t="s">
        <v>931</v>
      </c>
      <c r="C260" s="11"/>
      <c r="D260" s="11" t="s">
        <v>932</v>
      </c>
      <c r="E260" s="6">
        <v>0</v>
      </c>
      <c r="F260" s="12"/>
      <c r="P260" s="9"/>
    </row>
    <row r="261" spans="1:16">
      <c r="A261" s="12"/>
      <c r="B261" s="11" t="s">
        <v>933</v>
      </c>
      <c r="C261" s="11"/>
      <c r="D261" s="11" t="s">
        <v>932</v>
      </c>
      <c r="E261" s="6">
        <v>0</v>
      </c>
      <c r="F261" s="12"/>
      <c r="P261" s="9"/>
    </row>
    <row r="262" spans="1:16">
      <c r="A262" s="12"/>
      <c r="B262" s="11" t="s">
        <v>934</v>
      </c>
      <c r="C262" s="11"/>
      <c r="D262" s="11" t="s">
        <v>935</v>
      </c>
      <c r="E262" s="6">
        <v>0</v>
      </c>
      <c r="F262" s="12"/>
      <c r="P262" s="9"/>
    </row>
    <row r="263" spans="1:16">
      <c r="A263" s="12"/>
      <c r="B263" s="11" t="s">
        <v>936</v>
      </c>
      <c r="C263" s="11"/>
      <c r="D263" s="11" t="s">
        <v>731</v>
      </c>
      <c r="E263" s="6">
        <v>0</v>
      </c>
      <c r="F263" s="12"/>
      <c r="P263" s="9"/>
    </row>
    <row r="264" spans="1:16">
      <c r="A264" s="12"/>
      <c r="B264" s="11" t="s">
        <v>937</v>
      </c>
      <c r="C264" s="11"/>
      <c r="D264" s="11" t="s">
        <v>938</v>
      </c>
      <c r="E264" s="6">
        <v>0</v>
      </c>
      <c r="F264" s="12"/>
      <c r="P264" s="9"/>
    </row>
    <row r="265" spans="1:16">
      <c r="A265" s="12"/>
      <c r="B265" s="11" t="s">
        <v>939</v>
      </c>
      <c r="C265" s="11"/>
      <c r="D265" s="11" t="s">
        <v>940</v>
      </c>
      <c r="E265" s="6">
        <v>0</v>
      </c>
      <c r="F265" s="12"/>
      <c r="P265" s="9"/>
    </row>
    <row r="266" spans="1:16">
      <c r="A266" s="12"/>
      <c r="B266" s="11" t="s">
        <v>941</v>
      </c>
      <c r="C266" s="11"/>
      <c r="D266" s="11" t="s">
        <v>942</v>
      </c>
      <c r="E266" s="6">
        <v>0</v>
      </c>
      <c r="F266" s="12"/>
      <c r="P266" s="9"/>
    </row>
    <row r="267" spans="1:16">
      <c r="A267" s="12"/>
      <c r="B267" s="11" t="s">
        <v>943</v>
      </c>
      <c r="C267" s="11"/>
      <c r="D267" s="11" t="s">
        <v>944</v>
      </c>
      <c r="E267" s="6">
        <v>0</v>
      </c>
      <c r="F267" s="12"/>
      <c r="P267" s="9"/>
    </row>
    <row r="268" spans="1:16">
      <c r="A268" s="12"/>
      <c r="B268" s="11" t="s">
        <v>945</v>
      </c>
      <c r="C268" s="11"/>
      <c r="D268" s="11" t="s">
        <v>946</v>
      </c>
      <c r="E268" s="6">
        <v>0</v>
      </c>
      <c r="F268" s="12"/>
      <c r="P268" s="9"/>
    </row>
    <row r="269" spans="1:16">
      <c r="A269" s="12"/>
      <c r="B269" s="11" t="s">
        <v>947</v>
      </c>
      <c r="C269" s="13"/>
      <c r="D269" s="13" t="s">
        <v>948</v>
      </c>
      <c r="E269" s="6">
        <v>0</v>
      </c>
      <c r="F269" s="12"/>
      <c r="P269" s="9"/>
    </row>
    <row r="270" spans="1:16">
      <c r="A270" s="12"/>
      <c r="B270" s="11" t="s">
        <v>949</v>
      </c>
      <c r="C270" s="13"/>
      <c r="D270" s="13" t="s">
        <v>948</v>
      </c>
      <c r="E270" s="6">
        <v>0</v>
      </c>
      <c r="F270" s="12"/>
      <c r="P270" s="9"/>
    </row>
    <row r="271" spans="1:16">
      <c r="A271" s="12"/>
      <c r="B271" s="11" t="s">
        <v>950</v>
      </c>
      <c r="C271" s="11"/>
      <c r="D271" s="11" t="s">
        <v>951</v>
      </c>
      <c r="E271" s="6">
        <v>0</v>
      </c>
      <c r="F271" s="12"/>
      <c r="P271" s="9"/>
    </row>
    <row r="272" spans="1:16">
      <c r="A272" s="12"/>
      <c r="B272" s="11" t="s">
        <v>952</v>
      </c>
      <c r="C272" s="11"/>
      <c r="D272" s="11" t="s">
        <v>951</v>
      </c>
      <c r="E272" s="6">
        <v>0</v>
      </c>
      <c r="F272" s="12"/>
      <c r="P272" s="9"/>
    </row>
    <row r="273" spans="1:16">
      <c r="A273" s="12"/>
      <c r="B273" s="11" t="s">
        <v>953</v>
      </c>
      <c r="C273" s="11"/>
      <c r="D273" s="11" t="s">
        <v>768</v>
      </c>
      <c r="E273" s="6">
        <v>0</v>
      </c>
      <c r="F273" s="12"/>
      <c r="P273" s="9"/>
    </row>
    <row r="274" spans="1:16">
      <c r="A274" s="12"/>
      <c r="B274" s="11" t="s">
        <v>954</v>
      </c>
      <c r="C274" s="11"/>
      <c r="D274" s="11" t="s">
        <v>955</v>
      </c>
      <c r="E274" s="6">
        <v>0</v>
      </c>
      <c r="F274" s="12"/>
      <c r="P274" s="9"/>
    </row>
    <row r="275" spans="1:16">
      <c r="A275" s="12"/>
      <c r="B275" s="11" t="s">
        <v>956</v>
      </c>
      <c r="C275" s="11"/>
      <c r="D275" s="11" t="s">
        <v>955</v>
      </c>
      <c r="E275" s="6">
        <v>0</v>
      </c>
      <c r="F275" s="12"/>
      <c r="P275" s="9"/>
    </row>
    <row r="276" spans="1:16">
      <c r="A276" s="12"/>
      <c r="B276" s="11" t="s">
        <v>957</v>
      </c>
      <c r="C276" s="11"/>
      <c r="D276" s="11" t="s">
        <v>958</v>
      </c>
      <c r="E276" s="6">
        <v>0</v>
      </c>
      <c r="F276" s="12"/>
      <c r="P276" s="9"/>
    </row>
    <row r="277" spans="1:16">
      <c r="A277" s="12"/>
      <c r="B277" s="11" t="s">
        <v>959</v>
      </c>
      <c r="C277" s="11"/>
      <c r="D277" s="11" t="s">
        <v>960</v>
      </c>
      <c r="E277" s="6">
        <v>0</v>
      </c>
      <c r="F277" s="12"/>
      <c r="P277" s="9"/>
    </row>
    <row r="278" spans="1:16">
      <c r="A278" s="12"/>
      <c r="B278" s="11" t="s">
        <v>961</v>
      </c>
      <c r="C278" s="11"/>
      <c r="D278" s="11" t="s">
        <v>962</v>
      </c>
      <c r="E278" s="6">
        <v>0</v>
      </c>
      <c r="F278" s="12"/>
      <c r="P278" s="9"/>
    </row>
    <row r="279" spans="1:16">
      <c r="A279" s="12"/>
      <c r="B279" s="11" t="s">
        <v>963</v>
      </c>
      <c r="C279" s="11"/>
      <c r="D279" s="11" t="s">
        <v>902</v>
      </c>
      <c r="E279" s="6">
        <v>0</v>
      </c>
      <c r="F279" s="12"/>
      <c r="P279" s="9"/>
    </row>
    <row r="280" spans="1:16">
      <c r="A280" s="12"/>
      <c r="B280" s="11" t="s">
        <v>964</v>
      </c>
      <c r="C280" s="11"/>
      <c r="D280" s="11" t="s">
        <v>902</v>
      </c>
      <c r="E280" s="6">
        <v>0</v>
      </c>
      <c r="F280" s="12"/>
      <c r="P280" s="9"/>
    </row>
    <row r="281" spans="1:16">
      <c r="A281" s="12"/>
      <c r="B281" s="11" t="s">
        <v>965</v>
      </c>
      <c r="C281" s="11"/>
      <c r="D281" s="11" t="s">
        <v>966</v>
      </c>
      <c r="E281" s="6">
        <v>0</v>
      </c>
      <c r="F281" s="12"/>
      <c r="P281" s="9"/>
    </row>
    <row r="282" spans="1:16">
      <c r="A282" s="12"/>
      <c r="B282" s="11" t="s">
        <v>967</v>
      </c>
      <c r="C282" s="11"/>
      <c r="D282" s="11" t="s">
        <v>968</v>
      </c>
      <c r="E282" s="6">
        <v>0</v>
      </c>
      <c r="F282" s="12"/>
      <c r="P282" s="9"/>
    </row>
    <row r="283" spans="1:16">
      <c r="A283" s="12"/>
      <c r="B283" s="11" t="s">
        <v>969</v>
      </c>
      <c r="C283" s="11"/>
      <c r="D283" s="11" t="s">
        <v>970</v>
      </c>
      <c r="E283" s="6">
        <v>0</v>
      </c>
      <c r="F283" s="12"/>
      <c r="P283" s="9"/>
    </row>
    <row r="284" spans="1:16">
      <c r="A284" s="12"/>
      <c r="B284" s="11" t="s">
        <v>971</v>
      </c>
      <c r="C284" s="11"/>
      <c r="D284" s="11" t="s">
        <v>972</v>
      </c>
      <c r="E284" s="6">
        <v>0</v>
      </c>
      <c r="F284" s="12"/>
      <c r="P284" s="9"/>
    </row>
    <row r="285" spans="1:16">
      <c r="A285" s="12"/>
      <c r="B285" s="11" t="s">
        <v>973</v>
      </c>
      <c r="C285" s="11"/>
      <c r="D285" s="11" t="s">
        <v>613</v>
      </c>
      <c r="E285" s="6">
        <v>0</v>
      </c>
      <c r="F285" s="12"/>
      <c r="P285" s="9"/>
    </row>
    <row r="286" spans="1:16">
      <c r="A286" s="12"/>
      <c r="B286" s="11" t="s">
        <v>974</v>
      </c>
      <c r="C286" s="11"/>
      <c r="D286" s="11" t="s">
        <v>599</v>
      </c>
      <c r="E286" s="6">
        <v>0</v>
      </c>
      <c r="F286" s="12"/>
      <c r="P286" s="9"/>
    </row>
    <row r="287" spans="1:16">
      <c r="A287" s="12"/>
      <c r="B287" s="11" t="s">
        <v>975</v>
      </c>
      <c r="C287" s="11"/>
      <c r="D287" s="11" t="s">
        <v>590</v>
      </c>
      <c r="E287" s="6">
        <v>0</v>
      </c>
      <c r="F287" s="12"/>
      <c r="P287" s="9"/>
    </row>
    <row r="288" spans="1:16">
      <c r="A288" s="12"/>
      <c r="B288" s="11" t="s">
        <v>976</v>
      </c>
      <c r="C288" s="11"/>
      <c r="D288" s="11" t="s">
        <v>977</v>
      </c>
      <c r="E288" s="6">
        <v>0</v>
      </c>
      <c r="F288" s="12"/>
      <c r="P288" s="9"/>
    </row>
    <row r="289" spans="1:16">
      <c r="A289" s="12"/>
      <c r="B289" s="11" t="s">
        <v>978</v>
      </c>
      <c r="C289" s="11"/>
      <c r="D289" s="11" t="s">
        <v>666</v>
      </c>
      <c r="E289" s="6">
        <v>0</v>
      </c>
      <c r="F289" s="12"/>
      <c r="P289" s="9"/>
    </row>
    <row r="290" spans="1:16">
      <c r="A290" s="12"/>
      <c r="B290" s="11" t="s">
        <v>979</v>
      </c>
      <c r="C290" s="11"/>
      <c r="D290" s="11" t="s">
        <v>630</v>
      </c>
      <c r="E290" s="6">
        <v>0</v>
      </c>
      <c r="F290" s="12"/>
      <c r="P290" s="9"/>
    </row>
    <row r="291" spans="1:16">
      <c r="A291" s="12"/>
      <c r="B291" s="11" t="s">
        <v>980</v>
      </c>
      <c r="C291" s="11"/>
      <c r="D291" s="11" t="s">
        <v>638</v>
      </c>
      <c r="E291" s="6">
        <v>0</v>
      </c>
      <c r="F291" s="12"/>
      <c r="P291" s="9"/>
    </row>
    <row r="292" spans="1:16">
      <c r="A292" s="12"/>
      <c r="B292" s="11" t="s">
        <v>981</v>
      </c>
      <c r="C292" s="11"/>
      <c r="D292" s="11" t="s">
        <v>885</v>
      </c>
      <c r="E292" s="6">
        <v>0</v>
      </c>
      <c r="F292" s="12"/>
      <c r="P292" s="9"/>
    </row>
    <row r="293" spans="1:16">
      <c r="A293" s="12"/>
      <c r="B293" s="11" t="s">
        <v>982</v>
      </c>
      <c r="C293" s="11"/>
      <c r="D293" s="11" t="s">
        <v>983</v>
      </c>
      <c r="E293" s="6">
        <v>0</v>
      </c>
      <c r="F293" s="12"/>
      <c r="P293" s="9"/>
    </row>
    <row r="294" spans="1:16">
      <c r="A294" s="12"/>
      <c r="B294" s="11" t="s">
        <v>984</v>
      </c>
      <c r="C294" s="11"/>
      <c r="D294" s="11" t="s">
        <v>985</v>
      </c>
      <c r="E294" s="6">
        <v>0</v>
      </c>
      <c r="F294" s="12"/>
      <c r="P294" s="9"/>
    </row>
    <row r="295" spans="1:16">
      <c r="A295" s="12"/>
      <c r="B295" s="11" t="s">
        <v>986</v>
      </c>
      <c r="C295" s="11"/>
      <c r="D295" s="11" t="s">
        <v>702</v>
      </c>
      <c r="E295" s="6">
        <v>0</v>
      </c>
      <c r="F295" s="12"/>
      <c r="P295" s="9"/>
    </row>
    <row r="296" spans="1:16">
      <c r="A296" s="12"/>
      <c r="B296" s="11" t="s">
        <v>987</v>
      </c>
      <c r="C296" s="11"/>
      <c r="D296" s="11" t="s">
        <v>702</v>
      </c>
      <c r="E296" s="6">
        <v>0</v>
      </c>
      <c r="F296" s="12"/>
      <c r="P296" s="9"/>
    </row>
    <row r="297" spans="1:16">
      <c r="A297" s="12"/>
      <c r="B297" s="11" t="s">
        <v>988</v>
      </c>
      <c r="C297" s="11"/>
      <c r="D297" s="11" t="s">
        <v>844</v>
      </c>
      <c r="E297" s="6">
        <v>0</v>
      </c>
      <c r="F297" s="12"/>
      <c r="P297" s="9"/>
    </row>
    <row r="298" spans="1:16">
      <c r="A298" s="12"/>
      <c r="B298" s="11" t="s">
        <v>989</v>
      </c>
      <c r="C298" s="11"/>
      <c r="D298" s="11" t="s">
        <v>882</v>
      </c>
      <c r="E298" s="6">
        <v>0</v>
      </c>
      <c r="F298" s="12"/>
      <c r="P298" s="9"/>
    </row>
    <row r="299" spans="1:16">
      <c r="A299" s="12"/>
      <c r="B299" s="11" t="s">
        <v>990</v>
      </c>
      <c r="C299" s="11"/>
      <c r="D299" s="11" t="s">
        <v>882</v>
      </c>
      <c r="E299" s="6">
        <v>0</v>
      </c>
      <c r="F299" s="12"/>
      <c r="P299" s="9"/>
    </row>
    <row r="300" spans="1:16">
      <c r="A300" s="12"/>
      <c r="B300" s="11" t="s">
        <v>991</v>
      </c>
      <c r="C300" s="11"/>
      <c r="D300" s="11" t="s">
        <v>951</v>
      </c>
      <c r="E300" s="6">
        <v>0</v>
      </c>
      <c r="F300" s="12"/>
      <c r="P300" s="9"/>
    </row>
    <row r="301" spans="1:16">
      <c r="A301" s="12"/>
      <c r="B301" s="11" t="s">
        <v>992</v>
      </c>
      <c r="C301" s="11"/>
      <c r="D301" s="11" t="s">
        <v>951</v>
      </c>
      <c r="E301" s="6">
        <v>0</v>
      </c>
      <c r="F301" s="12"/>
      <c r="P301" s="9"/>
    </row>
    <row r="302" spans="1:16">
      <c r="A302" s="12"/>
      <c r="B302" s="11" t="s">
        <v>993</v>
      </c>
      <c r="C302" s="11"/>
      <c r="D302" s="11" t="s">
        <v>994</v>
      </c>
      <c r="E302" s="6">
        <v>0</v>
      </c>
      <c r="F302" s="12"/>
      <c r="P302" s="9"/>
    </row>
    <row r="303" spans="1:16">
      <c r="A303" s="12"/>
      <c r="B303" s="11" t="s">
        <v>995</v>
      </c>
      <c r="C303" s="11"/>
      <c r="D303" s="11" t="s">
        <v>996</v>
      </c>
      <c r="E303" s="6">
        <v>0</v>
      </c>
      <c r="F303" s="12"/>
      <c r="P303" s="9"/>
    </row>
    <row r="304" spans="1:16">
      <c r="A304" s="12"/>
      <c r="B304" s="11" t="s">
        <v>997</v>
      </c>
      <c r="C304" s="11"/>
      <c r="D304" s="11" t="s">
        <v>996</v>
      </c>
      <c r="E304" s="6">
        <v>0</v>
      </c>
      <c r="F304" s="12"/>
      <c r="P304" s="9"/>
    </row>
    <row r="305" spans="1:16">
      <c r="A305" s="12"/>
      <c r="B305" s="11" t="s">
        <v>998</v>
      </c>
      <c r="C305" s="11"/>
      <c r="D305" s="11" t="s">
        <v>999</v>
      </c>
      <c r="E305" s="6">
        <v>0</v>
      </c>
      <c r="F305" s="12"/>
      <c r="P305" s="9"/>
    </row>
    <row r="306" spans="1:16">
      <c r="A306" s="12"/>
      <c r="B306" s="11" t="s">
        <v>1000</v>
      </c>
      <c r="C306" s="11"/>
      <c r="D306" s="11" t="s">
        <v>817</v>
      </c>
      <c r="E306" s="6">
        <v>0</v>
      </c>
      <c r="F306" s="12"/>
      <c r="K306" s="9"/>
      <c r="P306" s="9"/>
    </row>
    <row r="307" spans="1:16">
      <c r="A307" s="12"/>
      <c r="B307" s="11" t="s">
        <v>1001</v>
      </c>
      <c r="C307" s="11"/>
      <c r="D307" s="11" t="s">
        <v>817</v>
      </c>
      <c r="E307" s="6">
        <v>0</v>
      </c>
      <c r="F307" s="12"/>
      <c r="K307" s="9"/>
      <c r="P307" s="9"/>
    </row>
    <row r="308" spans="1:16">
      <c r="A308" s="12"/>
      <c r="B308" s="11" t="s">
        <v>1002</v>
      </c>
      <c r="C308" s="11"/>
      <c r="D308" s="11" t="s">
        <v>1003</v>
      </c>
      <c r="E308" s="6">
        <v>0</v>
      </c>
      <c r="F308" s="12"/>
      <c r="P308" s="9"/>
    </row>
    <row r="309" spans="1:16">
      <c r="A309" s="12"/>
      <c r="B309" s="11" t="s">
        <v>1004</v>
      </c>
      <c r="C309" s="11"/>
      <c r="D309" s="11" t="s">
        <v>1005</v>
      </c>
      <c r="E309" s="6">
        <v>0</v>
      </c>
      <c r="F309" s="12"/>
      <c r="P309" s="9"/>
    </row>
    <row r="310" spans="1:16">
      <c r="A310" s="12"/>
      <c r="B310" s="11" t="s">
        <v>1006</v>
      </c>
      <c r="C310" s="11"/>
      <c r="D310" s="11" t="s">
        <v>1005</v>
      </c>
      <c r="E310" s="6">
        <v>0</v>
      </c>
      <c r="F310" s="12"/>
      <c r="P310" s="9"/>
    </row>
    <row r="311" spans="1:16">
      <c r="A311" s="12"/>
      <c r="B311" s="11" t="s">
        <v>1007</v>
      </c>
      <c r="C311" s="11"/>
      <c r="D311" s="11" t="s">
        <v>1008</v>
      </c>
      <c r="E311" s="6">
        <v>0</v>
      </c>
      <c r="F311" s="12"/>
      <c r="P311" s="9"/>
    </row>
    <row r="312" spans="1:16">
      <c r="A312" s="12"/>
      <c r="B312" s="11" t="s">
        <v>1009</v>
      </c>
      <c r="C312" s="11"/>
      <c r="D312" s="11" t="s">
        <v>615</v>
      </c>
      <c r="E312" s="6">
        <v>0</v>
      </c>
      <c r="F312" s="12"/>
      <c r="P312" s="9"/>
    </row>
    <row r="313" spans="1:16">
      <c r="A313" s="12"/>
      <c r="B313" s="11" t="s">
        <v>1010</v>
      </c>
      <c r="C313" s="11"/>
      <c r="D313" s="11" t="s">
        <v>617</v>
      </c>
      <c r="E313" s="6">
        <v>0</v>
      </c>
      <c r="F313" s="12"/>
      <c r="P313" s="9"/>
    </row>
    <row r="314" spans="1:16">
      <c r="A314" s="12"/>
      <c r="B314" s="11" t="s">
        <v>1011</v>
      </c>
      <c r="C314" s="11"/>
      <c r="D314" s="11" t="s">
        <v>839</v>
      </c>
      <c r="E314" s="6">
        <v>0</v>
      </c>
      <c r="F314" s="12"/>
      <c r="P314" s="9"/>
    </row>
    <row r="315" spans="1:16">
      <c r="A315" s="12"/>
      <c r="B315" s="11" t="s">
        <v>1012</v>
      </c>
      <c r="C315" s="11"/>
      <c r="D315" s="11" t="s">
        <v>839</v>
      </c>
      <c r="E315" s="6">
        <v>0</v>
      </c>
      <c r="F315" s="12"/>
      <c r="P315" s="9"/>
    </row>
    <row r="316" spans="1:16">
      <c r="A316" s="12"/>
      <c r="B316" s="11" t="s">
        <v>1013</v>
      </c>
      <c r="C316" s="11"/>
      <c r="D316" s="11" t="s">
        <v>707</v>
      </c>
      <c r="E316" s="6">
        <v>0</v>
      </c>
      <c r="F316" s="12"/>
      <c r="P316" s="9"/>
    </row>
    <row r="317" spans="1:16">
      <c r="A317" s="12"/>
      <c r="B317" s="11" t="s">
        <v>1014</v>
      </c>
      <c r="C317" s="11"/>
      <c r="D317" s="11" t="s">
        <v>707</v>
      </c>
      <c r="E317" s="6">
        <v>0</v>
      </c>
      <c r="F317" s="12"/>
      <c r="P317" s="9"/>
    </row>
    <row r="318" spans="1:16">
      <c r="A318" s="12"/>
      <c r="B318" s="11" t="s">
        <v>1015</v>
      </c>
      <c r="C318" s="11"/>
      <c r="D318" s="11" t="s">
        <v>707</v>
      </c>
      <c r="E318" s="6">
        <v>0</v>
      </c>
      <c r="F318" s="12"/>
      <c r="P318" s="9"/>
    </row>
    <row r="319" spans="1:16">
      <c r="A319" s="12"/>
      <c r="B319" s="11" t="s">
        <v>1016</v>
      </c>
      <c r="C319" s="11"/>
      <c r="D319" s="11" t="s">
        <v>707</v>
      </c>
      <c r="E319" s="6">
        <v>0</v>
      </c>
      <c r="F319" s="12"/>
      <c r="P319" s="9"/>
    </row>
    <row r="320" spans="1:16">
      <c r="A320" s="12"/>
      <c r="B320" s="11" t="s">
        <v>1017</v>
      </c>
      <c r="C320" s="11"/>
      <c r="D320" s="11" t="s">
        <v>599</v>
      </c>
      <c r="E320" s="6">
        <v>0</v>
      </c>
      <c r="F320" s="12"/>
      <c r="P320" s="9"/>
    </row>
    <row r="321" spans="1:16">
      <c r="A321" s="12"/>
      <c r="B321" s="11" t="s">
        <v>1018</v>
      </c>
      <c r="C321" s="11"/>
      <c r="D321" s="11" t="s">
        <v>559</v>
      </c>
      <c r="E321" s="6">
        <v>0</v>
      </c>
      <c r="F321" s="12"/>
      <c r="P321" s="9"/>
    </row>
    <row r="322" spans="1:16">
      <c r="A322" s="12"/>
      <c r="B322" s="11" t="s">
        <v>1019</v>
      </c>
      <c r="C322" s="11"/>
      <c r="D322" s="11" t="s">
        <v>661</v>
      </c>
      <c r="E322" s="6">
        <v>0</v>
      </c>
      <c r="F322" s="12"/>
      <c r="P322" s="9"/>
    </row>
    <row r="323" spans="1:16">
      <c r="A323" s="12"/>
      <c r="B323" s="11" t="s">
        <v>1020</v>
      </c>
      <c r="C323" s="11"/>
      <c r="D323" s="11" t="s">
        <v>1021</v>
      </c>
      <c r="E323" s="6">
        <v>0</v>
      </c>
      <c r="F323" s="12"/>
      <c r="P323" s="9"/>
    </row>
    <row r="324" spans="1:16">
      <c r="A324" s="12"/>
      <c r="B324" s="11" t="s">
        <v>1022</v>
      </c>
      <c r="C324" s="11"/>
      <c r="D324" s="11" t="s">
        <v>907</v>
      </c>
      <c r="E324" s="6">
        <v>0</v>
      </c>
      <c r="F324" s="12"/>
      <c r="P324" s="9"/>
    </row>
    <row r="325" spans="1:16">
      <c r="A325" s="12"/>
      <c r="B325" s="11" t="s">
        <v>1023</v>
      </c>
      <c r="C325" s="11"/>
      <c r="D325" s="11" t="s">
        <v>1024</v>
      </c>
      <c r="E325" s="6">
        <v>0</v>
      </c>
      <c r="F325" s="12"/>
      <c r="P325" s="9"/>
    </row>
    <row r="326" spans="1:16">
      <c r="A326" s="12"/>
      <c r="B326" s="11" t="s">
        <v>1025</v>
      </c>
      <c r="C326" s="14"/>
      <c r="D326" s="14" t="s">
        <v>1024</v>
      </c>
      <c r="E326" s="6">
        <v>0</v>
      </c>
      <c r="F326" s="12"/>
      <c r="P326" s="9"/>
    </row>
    <row r="327" spans="1:16">
      <c r="A327" s="12"/>
      <c r="B327" s="11" t="s">
        <v>1026</v>
      </c>
      <c r="C327" s="14"/>
      <c r="D327" s="14" t="s">
        <v>1024</v>
      </c>
      <c r="E327" s="6">
        <v>0</v>
      </c>
      <c r="F327" s="12"/>
      <c r="P327" s="9"/>
    </row>
    <row r="328" spans="1:16">
      <c r="A328" s="12"/>
      <c r="B328" s="11" t="s">
        <v>1027</v>
      </c>
      <c r="C328" s="14"/>
      <c r="D328" s="14" t="s">
        <v>1024</v>
      </c>
      <c r="E328" s="6">
        <v>0</v>
      </c>
      <c r="F328" s="12"/>
      <c r="P328" s="9"/>
    </row>
    <row r="329" spans="1:16">
      <c r="A329" s="12"/>
      <c r="B329" s="11" t="s">
        <v>1028</v>
      </c>
      <c r="C329" s="14"/>
      <c r="D329" s="14" t="s">
        <v>1024</v>
      </c>
      <c r="E329" s="6">
        <v>0</v>
      </c>
      <c r="F329" s="12"/>
      <c r="P329" s="9"/>
    </row>
    <row r="330" spans="1:16">
      <c r="A330" s="12"/>
      <c r="B330" s="11" t="s">
        <v>1029</v>
      </c>
      <c r="C330" s="14"/>
      <c r="D330" s="14" t="s">
        <v>1024</v>
      </c>
      <c r="E330" s="6">
        <v>0</v>
      </c>
      <c r="F330" s="12"/>
      <c r="P330" s="9"/>
    </row>
    <row r="331" spans="1:16">
      <c r="A331" s="12"/>
      <c r="B331" s="11" t="s">
        <v>1030</v>
      </c>
      <c r="C331" s="11"/>
      <c r="D331" s="11" t="s">
        <v>661</v>
      </c>
      <c r="E331" s="6">
        <v>0</v>
      </c>
      <c r="F331" s="12"/>
      <c r="P331" s="9"/>
    </row>
    <row r="332" spans="1:16">
      <c r="A332" s="12"/>
      <c r="B332" s="11" t="s">
        <v>1031</v>
      </c>
      <c r="C332" s="11"/>
      <c r="D332" s="11" t="s">
        <v>630</v>
      </c>
      <c r="E332" s="6">
        <v>0</v>
      </c>
      <c r="F332" s="12"/>
      <c r="P332" s="9"/>
    </row>
    <row r="333" spans="1:16">
      <c r="A333" s="12"/>
      <c r="B333" s="11" t="s">
        <v>1032</v>
      </c>
      <c r="C333" s="11"/>
      <c r="D333" s="11" t="s">
        <v>1033</v>
      </c>
      <c r="E333" s="6">
        <v>0</v>
      </c>
      <c r="F333" s="12"/>
      <c r="P333" s="9"/>
    </row>
    <row r="334" spans="1:16">
      <c r="A334" s="12"/>
      <c r="B334" s="11" t="s">
        <v>1034</v>
      </c>
      <c r="C334" s="11"/>
      <c r="D334" s="11" t="s">
        <v>1035</v>
      </c>
      <c r="E334" s="6">
        <v>0</v>
      </c>
      <c r="F334" s="12"/>
      <c r="P334" s="9"/>
    </row>
    <row r="335" spans="1:16">
      <c r="A335" s="12"/>
      <c r="B335" s="11" t="s">
        <v>1036</v>
      </c>
      <c r="C335" s="11"/>
      <c r="D335" s="11" t="s">
        <v>1035</v>
      </c>
      <c r="E335" s="6">
        <v>0</v>
      </c>
      <c r="F335" s="12"/>
      <c r="P335" s="9"/>
    </row>
    <row r="336" spans="1:16">
      <c r="A336" s="12"/>
      <c r="B336" s="11" t="s">
        <v>1037</v>
      </c>
      <c r="C336" s="11"/>
      <c r="D336" s="11" t="s">
        <v>871</v>
      </c>
      <c r="E336" s="6">
        <v>0</v>
      </c>
      <c r="F336" s="12"/>
      <c r="P336" s="9"/>
    </row>
    <row r="337" spans="1:16">
      <c r="A337" s="12"/>
      <c r="B337" s="11" t="s">
        <v>1038</v>
      </c>
      <c r="C337" s="11"/>
      <c r="D337" s="11" t="s">
        <v>871</v>
      </c>
      <c r="E337" s="6">
        <v>0</v>
      </c>
      <c r="F337" s="12"/>
      <c r="P337" s="9"/>
    </row>
    <row r="338" spans="1:16">
      <c r="A338" s="12"/>
      <c r="B338" s="11" t="s">
        <v>1039</v>
      </c>
      <c r="C338" s="11"/>
      <c r="D338" s="11" t="s">
        <v>871</v>
      </c>
      <c r="E338" s="6">
        <v>0</v>
      </c>
      <c r="F338" s="12"/>
      <c r="P338" s="9"/>
    </row>
    <row r="339" spans="1:16">
      <c r="A339" s="12"/>
      <c r="B339" s="11" t="s">
        <v>1040</v>
      </c>
      <c r="C339" s="11"/>
      <c r="D339" s="11" t="s">
        <v>871</v>
      </c>
      <c r="E339" s="6">
        <v>0</v>
      </c>
      <c r="F339" s="12"/>
      <c r="P339" s="9"/>
    </row>
    <row r="340" spans="1:16">
      <c r="A340" s="12"/>
      <c r="B340" s="11" t="s">
        <v>1041</v>
      </c>
      <c r="C340" s="11"/>
      <c r="D340" s="11" t="s">
        <v>871</v>
      </c>
      <c r="E340" s="6">
        <v>0</v>
      </c>
      <c r="F340" s="12"/>
      <c r="P340" s="9"/>
    </row>
    <row r="341" spans="1:16">
      <c r="A341" s="12"/>
      <c r="B341" s="11" t="s">
        <v>1042</v>
      </c>
      <c r="C341" s="11"/>
      <c r="D341" s="11" t="s">
        <v>871</v>
      </c>
      <c r="E341" s="6">
        <v>0</v>
      </c>
      <c r="F341" s="12"/>
      <c r="P341" s="9"/>
    </row>
    <row r="342" spans="1:16">
      <c r="A342" s="12"/>
      <c r="B342" s="11" t="s">
        <v>1043</v>
      </c>
      <c r="C342" s="11"/>
      <c r="D342" s="11" t="s">
        <v>771</v>
      </c>
      <c r="E342" s="6">
        <v>0</v>
      </c>
      <c r="F342" s="12"/>
      <c r="P342" s="9"/>
    </row>
    <row r="343" spans="1:16">
      <c r="A343" s="12"/>
      <c r="B343" s="11" t="s">
        <v>1044</v>
      </c>
      <c r="C343" s="11"/>
      <c r="D343" s="11" t="s">
        <v>771</v>
      </c>
      <c r="E343" s="6">
        <v>0</v>
      </c>
      <c r="F343" s="12"/>
      <c r="P343" s="9"/>
    </row>
    <row r="344" spans="1:16">
      <c r="A344" s="12"/>
      <c r="B344" s="11" t="s">
        <v>1045</v>
      </c>
      <c r="C344" s="11"/>
      <c r="D344" s="11" t="s">
        <v>1046</v>
      </c>
      <c r="E344" s="6">
        <v>0</v>
      </c>
      <c r="F344" s="12"/>
      <c r="P344" s="9"/>
    </row>
    <row r="345" spans="1:16">
      <c r="A345" s="12"/>
      <c r="B345" s="11" t="s">
        <v>1047</v>
      </c>
      <c r="C345" s="11"/>
      <c r="D345" s="11" t="s">
        <v>824</v>
      </c>
      <c r="E345" s="6">
        <v>0</v>
      </c>
      <c r="F345" s="12"/>
      <c r="P345" s="9"/>
    </row>
    <row r="346" spans="1:16">
      <c r="A346" s="12"/>
      <c r="B346" s="11" t="s">
        <v>1048</v>
      </c>
      <c r="C346" s="11"/>
      <c r="D346" s="11" t="s">
        <v>826</v>
      </c>
      <c r="E346" s="6">
        <v>0</v>
      </c>
      <c r="F346" s="12"/>
      <c r="P346" s="9"/>
    </row>
    <row r="347" spans="1:16">
      <c r="A347" s="12"/>
      <c r="B347" s="11" t="s">
        <v>1049</v>
      </c>
      <c r="C347" s="11"/>
      <c r="D347" s="11" t="s">
        <v>1050</v>
      </c>
      <c r="E347" s="6">
        <v>0</v>
      </c>
      <c r="F347" s="12"/>
      <c r="P347" s="9"/>
    </row>
    <row r="348" spans="1:16">
      <c r="A348" s="12"/>
      <c r="B348" s="11" t="s">
        <v>1051</v>
      </c>
      <c r="C348" s="11"/>
      <c r="D348" s="11" t="s">
        <v>1050</v>
      </c>
      <c r="E348" s="6">
        <v>0</v>
      </c>
      <c r="F348" s="12"/>
      <c r="P348" s="9"/>
    </row>
    <row r="349" spans="1:16">
      <c r="A349" s="12"/>
      <c r="B349" s="11" t="s">
        <v>1052</v>
      </c>
      <c r="C349" s="11"/>
      <c r="D349" s="11" t="s">
        <v>1053</v>
      </c>
      <c r="E349" s="6">
        <v>0</v>
      </c>
      <c r="F349" s="12"/>
      <c r="P349" s="9"/>
    </row>
    <row r="350" spans="1:16">
      <c r="A350" s="12"/>
      <c r="B350" s="11" t="s">
        <v>1054</v>
      </c>
      <c r="C350" s="11"/>
      <c r="D350" s="11" t="s">
        <v>615</v>
      </c>
      <c r="E350" s="6">
        <v>0</v>
      </c>
      <c r="F350" s="12"/>
      <c r="P350" s="9"/>
    </row>
    <row r="351" spans="1:16">
      <c r="A351" s="12"/>
      <c r="B351" s="11" t="s">
        <v>1055</v>
      </c>
      <c r="C351" s="11"/>
      <c r="D351" s="11" t="s">
        <v>617</v>
      </c>
      <c r="E351" s="6">
        <v>0</v>
      </c>
      <c r="F351" s="12"/>
      <c r="P351" s="9"/>
    </row>
    <row r="352" spans="1:16">
      <c r="A352" s="12"/>
      <c r="B352" s="11" t="s">
        <v>1056</v>
      </c>
      <c r="C352" s="11"/>
      <c r="D352" s="11" t="s">
        <v>1057</v>
      </c>
      <c r="E352" s="6">
        <v>0</v>
      </c>
      <c r="F352" s="12"/>
      <c r="P352" s="9"/>
    </row>
    <row r="353" spans="1:16">
      <c r="A353" s="12"/>
      <c r="B353" s="11" t="s">
        <v>1058</v>
      </c>
      <c r="C353" s="11"/>
      <c r="D353" s="11" t="s">
        <v>1059</v>
      </c>
      <c r="E353" s="6">
        <v>0</v>
      </c>
      <c r="F353" s="12"/>
      <c r="P353" s="9"/>
    </row>
    <row r="354" spans="1:16">
      <c r="A354" s="12"/>
      <c r="B354" s="11" t="s">
        <v>1060</v>
      </c>
      <c r="C354" s="11"/>
      <c r="D354" s="11" t="s">
        <v>1035</v>
      </c>
      <c r="E354" s="6">
        <v>0</v>
      </c>
      <c r="F354" s="12"/>
      <c r="P354" s="9"/>
    </row>
    <row r="355" spans="1:16">
      <c r="A355" s="12"/>
      <c r="B355" s="11" t="s">
        <v>1061</v>
      </c>
      <c r="C355" s="11"/>
      <c r="D355" s="11" t="s">
        <v>615</v>
      </c>
      <c r="E355" s="6">
        <v>0</v>
      </c>
      <c r="F355" s="12"/>
      <c r="P355" s="9"/>
    </row>
    <row r="356" spans="1:16">
      <c r="A356" s="12"/>
      <c r="B356" s="11" t="s">
        <v>1062</v>
      </c>
      <c r="C356" s="11"/>
      <c r="D356" s="11" t="s">
        <v>617</v>
      </c>
      <c r="E356" s="6">
        <v>0</v>
      </c>
      <c r="F356" s="12"/>
      <c r="P356" s="9"/>
    </row>
    <row r="357" spans="1:16">
      <c r="A357" s="12"/>
      <c r="B357" s="11" t="s">
        <v>1063</v>
      </c>
      <c r="C357" s="11"/>
      <c r="D357" s="11" t="s">
        <v>559</v>
      </c>
      <c r="E357" s="6">
        <v>0</v>
      </c>
      <c r="F357" s="12"/>
      <c r="P357" s="9"/>
    </row>
    <row r="358" spans="1:16">
      <c r="A358" s="12"/>
      <c r="B358" s="11" t="s">
        <v>1064</v>
      </c>
      <c r="C358" s="11"/>
      <c r="D358" s="11" t="s">
        <v>561</v>
      </c>
      <c r="E358" s="6">
        <v>0</v>
      </c>
      <c r="F358" s="12"/>
      <c r="P358" s="9"/>
    </row>
    <row r="359" spans="1:16">
      <c r="A359" s="12"/>
      <c r="B359" s="11" t="s">
        <v>1065</v>
      </c>
      <c r="C359" s="11"/>
      <c r="D359" s="11" t="s">
        <v>661</v>
      </c>
      <c r="E359" s="6">
        <v>0</v>
      </c>
      <c r="F359" s="12"/>
      <c r="P359" s="9"/>
    </row>
    <row r="360" spans="1:16">
      <c r="A360" s="12"/>
      <c r="B360" s="11" t="s">
        <v>1066</v>
      </c>
      <c r="C360" s="11"/>
      <c r="D360" s="11" t="s">
        <v>661</v>
      </c>
      <c r="E360" s="6">
        <v>0</v>
      </c>
      <c r="F360" s="12"/>
      <c r="P360" s="9"/>
    </row>
    <row r="361" spans="1:16">
      <c r="A361" s="12"/>
      <c r="B361" s="11" t="s">
        <v>1067</v>
      </c>
      <c r="C361" s="11"/>
      <c r="D361" s="11" t="s">
        <v>661</v>
      </c>
      <c r="E361" s="6">
        <v>0</v>
      </c>
      <c r="F361" s="12"/>
      <c r="P361" s="9"/>
    </row>
    <row r="362" spans="1:16">
      <c r="A362" s="12"/>
      <c r="B362" s="11" t="s">
        <v>1068</v>
      </c>
      <c r="C362" s="11"/>
      <c r="D362" s="11" t="s">
        <v>661</v>
      </c>
      <c r="E362" s="6">
        <v>0</v>
      </c>
      <c r="F362" s="12"/>
      <c r="P362" s="9"/>
    </row>
    <row r="363" spans="1:16">
      <c r="A363" s="12"/>
      <c r="B363" s="11" t="s">
        <v>1069</v>
      </c>
      <c r="C363" s="11"/>
      <c r="D363" s="11" t="s">
        <v>1070</v>
      </c>
      <c r="E363" s="6">
        <v>0</v>
      </c>
      <c r="F363" s="12"/>
      <c r="P363" s="9"/>
    </row>
    <row r="364" spans="1:16">
      <c r="A364" s="12"/>
      <c r="B364" s="11" t="s">
        <v>1071</v>
      </c>
      <c r="C364" s="11"/>
      <c r="D364" s="11" t="s">
        <v>1072</v>
      </c>
      <c r="E364" s="6">
        <v>0</v>
      </c>
      <c r="F364" s="12"/>
      <c r="P364" s="9"/>
    </row>
    <row r="365" spans="1:16">
      <c r="A365" s="12"/>
      <c r="B365" s="11" t="s">
        <v>1073</v>
      </c>
      <c r="C365" s="11"/>
      <c r="D365" s="11" t="s">
        <v>575</v>
      </c>
      <c r="E365" s="6">
        <v>0</v>
      </c>
      <c r="F365" s="12"/>
      <c r="P365" s="9"/>
    </row>
    <row r="366" spans="1:16">
      <c r="A366" s="12"/>
      <c r="B366" s="11" t="s">
        <v>1074</v>
      </c>
      <c r="C366" s="11"/>
      <c r="D366" s="11" t="s">
        <v>1075</v>
      </c>
      <c r="E366" s="6">
        <v>0</v>
      </c>
      <c r="F366" s="12"/>
      <c r="P366" s="9"/>
    </row>
    <row r="367" spans="1:16">
      <c r="A367" s="12"/>
      <c r="B367" s="11" t="s">
        <v>1076</v>
      </c>
      <c r="C367" s="11"/>
      <c r="D367" s="11" t="s">
        <v>1075</v>
      </c>
      <c r="E367" s="6">
        <v>0</v>
      </c>
      <c r="F367" s="12"/>
      <c r="P367" s="9"/>
    </row>
    <row r="368" spans="1:16">
      <c r="A368" s="12"/>
      <c r="B368" s="11" t="s">
        <v>1077</v>
      </c>
      <c r="C368" s="11"/>
      <c r="D368" s="11" t="s">
        <v>830</v>
      </c>
      <c r="E368" s="6">
        <v>0</v>
      </c>
      <c r="F368" s="12"/>
      <c r="P368" s="9"/>
    </row>
    <row r="369" spans="1:16">
      <c r="A369" s="12"/>
      <c r="B369" s="11" t="s">
        <v>1078</v>
      </c>
      <c r="C369" s="11"/>
      <c r="D369" s="11" t="s">
        <v>559</v>
      </c>
      <c r="E369" s="6">
        <v>0</v>
      </c>
      <c r="F369" s="12"/>
      <c r="P369" s="9"/>
    </row>
    <row r="370" spans="1:16">
      <c r="A370" s="12"/>
      <c r="B370" s="11" t="s">
        <v>1079</v>
      </c>
      <c r="C370" s="11"/>
      <c r="D370" s="11" t="s">
        <v>561</v>
      </c>
      <c r="E370" s="6">
        <v>0</v>
      </c>
      <c r="F370" s="12"/>
      <c r="P370" s="9"/>
    </row>
    <row r="371" spans="1:16">
      <c r="A371" s="12"/>
      <c r="B371" s="11" t="s">
        <v>1080</v>
      </c>
      <c r="C371" s="11"/>
      <c r="D371" s="11" t="s">
        <v>565</v>
      </c>
      <c r="E371" s="6">
        <v>0</v>
      </c>
      <c r="F371" s="12"/>
      <c r="P371" s="9"/>
    </row>
    <row r="372" spans="1:16">
      <c r="A372" s="12"/>
      <c r="B372" s="11" t="s">
        <v>1081</v>
      </c>
      <c r="C372" s="11"/>
      <c r="D372" s="11" t="s">
        <v>1082</v>
      </c>
      <c r="E372" s="6">
        <v>0</v>
      </c>
      <c r="F372" s="12"/>
      <c r="P372" s="9"/>
    </row>
    <row r="373" spans="1:16">
      <c r="A373" s="12"/>
      <c r="B373" s="11" t="s">
        <v>1083</v>
      </c>
      <c r="C373" s="11"/>
      <c r="D373" s="11" t="s">
        <v>1084</v>
      </c>
      <c r="E373" s="6">
        <v>0</v>
      </c>
      <c r="F373" s="12"/>
      <c r="P373" s="9"/>
    </row>
    <row r="374" spans="1:16">
      <c r="A374" s="12"/>
      <c r="B374" s="11" t="s">
        <v>1085</v>
      </c>
      <c r="C374" s="11"/>
      <c r="D374" s="11" t="s">
        <v>609</v>
      </c>
      <c r="E374" s="6">
        <v>0</v>
      </c>
      <c r="F374" s="12"/>
      <c r="P374" s="9"/>
    </row>
    <row r="375" spans="1:16">
      <c r="A375" s="12"/>
      <c r="B375" s="11" t="s">
        <v>1086</v>
      </c>
      <c r="C375" s="11"/>
      <c r="D375" s="11" t="s">
        <v>1005</v>
      </c>
      <c r="E375" s="6">
        <v>0</v>
      </c>
      <c r="F375" s="12"/>
      <c r="P375" s="9"/>
    </row>
    <row r="376" spans="1:16">
      <c r="A376" s="12"/>
      <c r="B376" s="11" t="s">
        <v>1087</v>
      </c>
      <c r="C376" s="11"/>
      <c r="D376" s="11" t="s">
        <v>1005</v>
      </c>
      <c r="E376" s="6">
        <v>0</v>
      </c>
      <c r="F376" s="12"/>
      <c r="P376" s="9"/>
    </row>
    <row r="377" spans="1:16">
      <c r="A377" s="12"/>
      <c r="B377" s="11" t="s">
        <v>1088</v>
      </c>
      <c r="C377" s="11"/>
      <c r="D377" s="11" t="s">
        <v>766</v>
      </c>
      <c r="E377" s="6">
        <v>0</v>
      </c>
      <c r="F377" s="12"/>
      <c r="P377" s="9"/>
    </row>
    <row r="378" spans="1:16">
      <c r="A378" s="12"/>
      <c r="B378" s="11" t="s">
        <v>1089</v>
      </c>
      <c r="C378" s="11"/>
      <c r="D378" s="11" t="s">
        <v>766</v>
      </c>
      <c r="E378" s="6">
        <v>0</v>
      </c>
      <c r="F378" s="12"/>
      <c r="P378" s="9"/>
    </row>
    <row r="379" spans="1:16">
      <c r="A379" s="12"/>
      <c r="B379" s="11" t="s">
        <v>1090</v>
      </c>
      <c r="C379" s="11"/>
      <c r="D379" s="11" t="s">
        <v>766</v>
      </c>
      <c r="E379" s="6">
        <v>0</v>
      </c>
      <c r="F379" s="12"/>
      <c r="P379" s="9"/>
    </row>
    <row r="380" spans="1:16">
      <c r="A380" s="12"/>
      <c r="B380" s="11" t="s">
        <v>1091</v>
      </c>
      <c r="C380" s="11"/>
      <c r="D380" s="11" t="s">
        <v>766</v>
      </c>
      <c r="E380" s="6">
        <v>0</v>
      </c>
      <c r="F380" s="12"/>
      <c r="P380" s="9"/>
    </row>
    <row r="381" spans="1:16">
      <c r="A381" s="12"/>
      <c r="B381" s="11" t="s">
        <v>1092</v>
      </c>
      <c r="C381" s="11"/>
      <c r="D381" s="11" t="s">
        <v>801</v>
      </c>
      <c r="E381" s="6">
        <v>0</v>
      </c>
      <c r="F381" s="12"/>
      <c r="P381" s="9"/>
    </row>
    <row r="382" spans="1:16">
      <c r="A382" s="12"/>
      <c r="B382" s="11" t="s">
        <v>1093</v>
      </c>
      <c r="C382" s="11"/>
      <c r="D382" s="11" t="s">
        <v>801</v>
      </c>
      <c r="E382" s="6">
        <v>0</v>
      </c>
      <c r="F382" s="12"/>
      <c r="P382" s="9"/>
    </row>
    <row r="383" spans="1:16">
      <c r="A383" s="12"/>
      <c r="B383" s="11" t="s">
        <v>1094</v>
      </c>
      <c r="C383" s="11"/>
      <c r="D383" s="11" t="s">
        <v>871</v>
      </c>
      <c r="E383" s="6">
        <v>0</v>
      </c>
      <c r="F383" s="12"/>
      <c r="P383" s="9"/>
    </row>
    <row r="384" spans="1:16">
      <c r="A384" s="12"/>
      <c r="B384" s="11" t="s">
        <v>1095</v>
      </c>
      <c r="C384" s="11"/>
      <c r="D384" s="11" t="s">
        <v>783</v>
      </c>
      <c r="E384" s="6">
        <v>0</v>
      </c>
      <c r="F384" s="12"/>
      <c r="P384" s="9"/>
    </row>
    <row r="385" spans="1:16">
      <c r="A385" s="12"/>
      <c r="B385" s="11" t="s">
        <v>1096</v>
      </c>
      <c r="C385" s="11"/>
      <c r="D385" s="11" t="s">
        <v>783</v>
      </c>
      <c r="E385" s="6">
        <v>0</v>
      </c>
      <c r="F385" s="12"/>
      <c r="P385" s="9"/>
    </row>
    <row r="386" spans="1:16">
      <c r="A386" s="12"/>
      <c r="B386" s="11" t="s">
        <v>1097</v>
      </c>
      <c r="C386" s="11"/>
      <c r="D386" s="11" t="s">
        <v>768</v>
      </c>
      <c r="E386" s="6">
        <v>0</v>
      </c>
      <c r="F386" s="12"/>
      <c r="P386" s="9"/>
    </row>
    <row r="387" spans="1:16">
      <c r="A387" s="12"/>
      <c r="B387" s="11" t="s">
        <v>1098</v>
      </c>
      <c r="C387" s="11"/>
      <c r="D387" s="11" t="s">
        <v>1099</v>
      </c>
      <c r="E387" s="6">
        <v>0</v>
      </c>
      <c r="F387" s="12"/>
      <c r="P387" s="9"/>
    </row>
    <row r="388" spans="1:16">
      <c r="A388" s="12"/>
      <c r="B388" s="11" t="s">
        <v>1100</v>
      </c>
      <c r="C388" s="11"/>
      <c r="D388" s="11" t="s">
        <v>1099</v>
      </c>
      <c r="E388" s="6">
        <v>0</v>
      </c>
      <c r="F388" s="12"/>
      <c r="P388" s="9"/>
    </row>
    <row r="389" spans="1:16">
      <c r="A389" s="12"/>
      <c r="B389" s="11" t="s">
        <v>1101</v>
      </c>
      <c r="C389" s="11"/>
      <c r="D389" s="11" t="s">
        <v>746</v>
      </c>
      <c r="E389" s="6">
        <v>0</v>
      </c>
      <c r="F389" s="12"/>
      <c r="P389" s="9"/>
    </row>
    <row r="390" spans="1:16">
      <c r="A390" s="12"/>
      <c r="B390" s="11" t="s">
        <v>1102</v>
      </c>
      <c r="C390" s="11"/>
      <c r="D390" s="11" t="s">
        <v>746</v>
      </c>
      <c r="E390" s="6">
        <v>0</v>
      </c>
      <c r="F390" s="12"/>
      <c r="P390" s="9"/>
    </row>
    <row r="391" spans="1:16">
      <c r="A391" s="12"/>
      <c r="B391" s="11" t="s">
        <v>1103</v>
      </c>
      <c r="C391" s="11"/>
      <c r="D391" s="11" t="s">
        <v>746</v>
      </c>
      <c r="E391" s="6">
        <v>0</v>
      </c>
      <c r="F391" s="12"/>
      <c r="P391" s="9"/>
    </row>
    <row r="392" spans="1:16">
      <c r="A392" s="12"/>
      <c r="B392" s="11" t="s">
        <v>1104</v>
      </c>
      <c r="C392" s="11"/>
      <c r="D392" s="11" t="s">
        <v>746</v>
      </c>
      <c r="E392" s="6">
        <v>0</v>
      </c>
      <c r="F392" s="12"/>
      <c r="P392" s="9"/>
    </row>
    <row r="393" spans="1:16">
      <c r="A393" s="12"/>
      <c r="B393" s="11" t="s">
        <v>1105</v>
      </c>
      <c r="C393" s="14"/>
      <c r="D393" s="14" t="s">
        <v>569</v>
      </c>
      <c r="E393" s="6">
        <v>0</v>
      </c>
      <c r="F393" s="12"/>
      <c r="P393" s="9"/>
    </row>
    <row r="394" spans="1:16">
      <c r="A394" s="12"/>
      <c r="B394" s="11" t="s">
        <v>1106</v>
      </c>
      <c r="C394" s="14"/>
      <c r="D394" s="14" t="s">
        <v>569</v>
      </c>
      <c r="E394" s="6">
        <v>0</v>
      </c>
      <c r="F394" s="12"/>
      <c r="P394" s="9"/>
    </row>
    <row r="395" spans="1:16">
      <c r="A395" s="12"/>
      <c r="B395" s="11" t="s">
        <v>1107</v>
      </c>
      <c r="C395" s="11"/>
      <c r="D395" s="11" t="s">
        <v>871</v>
      </c>
      <c r="E395" s="6">
        <v>0</v>
      </c>
      <c r="F395" s="12"/>
      <c r="P395" s="9"/>
    </row>
    <row r="396" spans="1:16">
      <c r="A396" s="12"/>
      <c r="B396" s="11" t="s">
        <v>1108</v>
      </c>
      <c r="C396" s="11"/>
      <c r="D396" s="11" t="s">
        <v>871</v>
      </c>
      <c r="E396" s="6">
        <v>0</v>
      </c>
      <c r="F396" s="12"/>
      <c r="P396" s="9"/>
    </row>
    <row r="397" spans="1:16">
      <c r="A397" s="12"/>
      <c r="B397" s="11" t="s">
        <v>1109</v>
      </c>
      <c r="C397" s="11"/>
      <c r="D397" s="11" t="s">
        <v>1110</v>
      </c>
      <c r="E397" s="6">
        <v>0</v>
      </c>
      <c r="F397" s="12"/>
      <c r="P397" s="9"/>
    </row>
    <row r="398" spans="1:16">
      <c r="A398" s="12"/>
      <c r="B398" s="11" t="s">
        <v>1111</v>
      </c>
      <c r="C398" s="14"/>
      <c r="D398" s="14" t="s">
        <v>1112</v>
      </c>
      <c r="E398" s="6">
        <v>0</v>
      </c>
      <c r="F398" s="12"/>
      <c r="P398" s="9"/>
    </row>
    <row r="399" spans="1:16">
      <c r="A399" s="12"/>
      <c r="B399" s="11" t="s">
        <v>1113</v>
      </c>
      <c r="C399" s="14"/>
      <c r="D399" s="14" t="s">
        <v>1112</v>
      </c>
      <c r="E399" s="6">
        <v>0</v>
      </c>
      <c r="F399" s="12"/>
      <c r="P399" s="9"/>
    </row>
    <row r="400" spans="1:16">
      <c r="A400" s="12"/>
      <c r="B400" s="11" t="s">
        <v>1114</v>
      </c>
      <c r="C400" s="11"/>
      <c r="D400" s="11" t="s">
        <v>1115</v>
      </c>
      <c r="E400" s="6">
        <v>0</v>
      </c>
      <c r="F400" s="12"/>
      <c r="P400" s="9"/>
    </row>
    <row r="401" spans="1:16">
      <c r="A401" s="12"/>
      <c r="B401" s="11" t="s">
        <v>1116</v>
      </c>
      <c r="C401" s="11"/>
      <c r="D401" s="11" t="s">
        <v>1115</v>
      </c>
      <c r="E401" s="6">
        <v>0</v>
      </c>
      <c r="F401" s="12"/>
      <c r="P401" s="9"/>
    </row>
    <row r="402" spans="1:16">
      <c r="A402" s="12"/>
      <c r="B402" s="11" t="s">
        <v>1117</v>
      </c>
      <c r="C402" s="11"/>
      <c r="D402" s="11" t="s">
        <v>1118</v>
      </c>
      <c r="E402" s="6">
        <v>0</v>
      </c>
      <c r="F402" s="12"/>
      <c r="P402" s="9"/>
    </row>
    <row r="403" spans="1:16">
      <c r="A403" s="12"/>
      <c r="B403" s="11" t="s">
        <v>1119</v>
      </c>
      <c r="C403" s="11"/>
      <c r="D403" s="11" t="s">
        <v>1120</v>
      </c>
      <c r="E403" s="6">
        <v>0</v>
      </c>
      <c r="F403" s="12"/>
      <c r="P403" s="9"/>
    </row>
    <row r="404" spans="1:16">
      <c r="A404" s="12"/>
      <c r="B404" s="11" t="s">
        <v>1121</v>
      </c>
      <c r="C404" s="11"/>
      <c r="D404" s="11" t="s">
        <v>1122</v>
      </c>
      <c r="E404" s="6">
        <v>0</v>
      </c>
      <c r="F404" s="12"/>
      <c r="P404" s="9"/>
    </row>
    <row r="405" spans="1:16">
      <c r="A405" s="12"/>
      <c r="B405" s="11" t="s">
        <v>1123</v>
      </c>
      <c r="C405" s="11"/>
      <c r="D405" s="11" t="s">
        <v>666</v>
      </c>
      <c r="E405" s="6">
        <v>0</v>
      </c>
      <c r="F405" s="12"/>
      <c r="P405" s="9"/>
    </row>
    <row r="406" spans="1:16">
      <c r="A406" s="12"/>
      <c r="B406" s="11" t="s">
        <v>1124</v>
      </c>
      <c r="C406" s="11"/>
      <c r="D406" s="11" t="s">
        <v>666</v>
      </c>
      <c r="E406" s="6">
        <v>0</v>
      </c>
      <c r="F406" s="12"/>
      <c r="P406" s="9"/>
    </row>
    <row r="407" spans="1:16">
      <c r="A407" s="12"/>
      <c r="B407" s="11" t="s">
        <v>1125</v>
      </c>
      <c r="C407" s="11"/>
      <c r="D407" s="11" t="s">
        <v>1126</v>
      </c>
      <c r="E407" s="6">
        <v>0</v>
      </c>
      <c r="F407" s="12"/>
      <c r="P407" s="9"/>
    </row>
    <row r="408" spans="1:16">
      <c r="A408" s="12"/>
      <c r="B408" s="11" t="s">
        <v>1127</v>
      </c>
      <c r="C408" s="11"/>
      <c r="D408" s="11" t="s">
        <v>1126</v>
      </c>
      <c r="E408" s="6">
        <v>0</v>
      </c>
      <c r="F408" s="12"/>
      <c r="P408" s="9"/>
    </row>
    <row r="409" spans="1:16">
      <c r="A409" s="12"/>
      <c r="B409" s="11" t="s">
        <v>1128</v>
      </c>
      <c r="C409" s="11"/>
      <c r="D409" s="11" t="s">
        <v>1126</v>
      </c>
      <c r="E409" s="6">
        <v>0</v>
      </c>
      <c r="F409" s="12"/>
      <c r="P409" s="9"/>
    </row>
    <row r="410" spans="1:16">
      <c r="A410" s="12"/>
      <c r="B410" s="11" t="s">
        <v>1129</v>
      </c>
      <c r="C410" s="11"/>
      <c r="D410" s="11" t="s">
        <v>1126</v>
      </c>
      <c r="E410" s="6">
        <v>0</v>
      </c>
      <c r="F410" s="12"/>
      <c r="P410" s="9"/>
    </row>
    <row r="411" spans="1:16">
      <c r="A411" s="12"/>
      <c r="B411" s="11" t="s">
        <v>1130</v>
      </c>
      <c r="C411" s="11"/>
      <c r="D411" s="11" t="s">
        <v>1131</v>
      </c>
      <c r="E411" s="6">
        <v>0</v>
      </c>
      <c r="F411" s="12"/>
      <c r="P411" s="9"/>
    </row>
    <row r="412" spans="1:16">
      <c r="A412" s="12"/>
      <c r="B412" s="11" t="s">
        <v>1132</v>
      </c>
      <c r="C412" s="11"/>
      <c r="D412" s="11" t="s">
        <v>1133</v>
      </c>
      <c r="E412" s="6">
        <v>0</v>
      </c>
      <c r="F412" s="12"/>
      <c r="P412" s="9"/>
    </row>
    <row r="413" spans="1:16">
      <c r="A413" s="12"/>
      <c r="B413" s="11" t="s">
        <v>1134</v>
      </c>
      <c r="C413" s="11"/>
      <c r="D413" s="11" t="s">
        <v>790</v>
      </c>
      <c r="E413" s="6">
        <v>0</v>
      </c>
      <c r="F413" s="12"/>
      <c r="P413" s="9"/>
    </row>
    <row r="414" spans="1:16">
      <c r="A414" s="12"/>
      <c r="B414" s="11" t="s">
        <v>1135</v>
      </c>
      <c r="C414" s="14"/>
      <c r="D414" s="14" t="s">
        <v>790</v>
      </c>
      <c r="E414" s="6">
        <v>0</v>
      </c>
      <c r="F414" s="12"/>
      <c r="P414" s="9"/>
    </row>
    <row r="415" spans="1:16">
      <c r="A415" s="12"/>
      <c r="B415" s="11" t="s">
        <v>1136</v>
      </c>
      <c r="C415" s="14"/>
      <c r="D415" s="14" t="s">
        <v>790</v>
      </c>
      <c r="E415" s="6">
        <v>0</v>
      </c>
      <c r="F415" s="12"/>
      <c r="P415" s="9"/>
    </row>
    <row r="416" spans="1:16">
      <c r="A416" s="12"/>
      <c r="B416" s="11" t="s">
        <v>1137</v>
      </c>
      <c r="C416" s="14"/>
      <c r="D416" s="14" t="s">
        <v>790</v>
      </c>
      <c r="E416" s="6">
        <v>0</v>
      </c>
      <c r="F416" s="12"/>
      <c r="P416" s="9"/>
    </row>
    <row r="417" spans="1:16">
      <c r="A417" s="12"/>
      <c r="B417" s="11" t="s">
        <v>1138</v>
      </c>
      <c r="C417" s="11"/>
      <c r="D417" s="11" t="s">
        <v>790</v>
      </c>
      <c r="E417" s="6">
        <v>0</v>
      </c>
      <c r="F417" s="12"/>
      <c r="P417" s="9"/>
    </row>
    <row r="418" spans="1:16">
      <c r="A418" s="12"/>
      <c r="B418" s="11" t="s">
        <v>1139</v>
      </c>
      <c r="C418" s="11"/>
      <c r="D418" s="11" t="s">
        <v>790</v>
      </c>
      <c r="E418" s="6">
        <v>0</v>
      </c>
      <c r="F418" s="12"/>
      <c r="P418" s="9"/>
    </row>
    <row r="419" spans="1:16">
      <c r="A419" s="12"/>
      <c r="B419" s="11" t="s">
        <v>1140</v>
      </c>
      <c r="C419" s="11"/>
      <c r="D419" s="11" t="s">
        <v>790</v>
      </c>
      <c r="E419" s="6">
        <v>0</v>
      </c>
      <c r="F419" s="12"/>
      <c r="P419" s="9"/>
    </row>
    <row r="420" spans="1:16">
      <c r="A420" s="12"/>
      <c r="B420" s="11" t="s">
        <v>1141</v>
      </c>
      <c r="C420" s="11"/>
      <c r="D420" s="11" t="s">
        <v>790</v>
      </c>
      <c r="E420" s="6">
        <v>0</v>
      </c>
      <c r="F420" s="12"/>
      <c r="P420" s="9"/>
    </row>
    <row r="421" spans="1:16">
      <c r="A421" s="12"/>
      <c r="B421" s="11" t="s">
        <v>1142</v>
      </c>
      <c r="C421" s="11"/>
      <c r="D421" s="11" t="s">
        <v>790</v>
      </c>
      <c r="E421" s="6">
        <v>0</v>
      </c>
      <c r="F421" s="12"/>
      <c r="P421" s="9"/>
    </row>
    <row r="422" spans="1:16">
      <c r="A422" s="12"/>
      <c r="B422" s="11" t="s">
        <v>1143</v>
      </c>
      <c r="C422" s="14"/>
      <c r="D422" s="14" t="s">
        <v>790</v>
      </c>
      <c r="E422" s="6">
        <v>0</v>
      </c>
      <c r="F422" s="12"/>
      <c r="P422" s="9"/>
    </row>
    <row r="423" spans="1:16">
      <c r="A423" s="12"/>
      <c r="B423" s="11" t="s">
        <v>1144</v>
      </c>
      <c r="C423" s="14"/>
      <c r="D423" s="14" t="s">
        <v>790</v>
      </c>
      <c r="E423" s="6">
        <v>0</v>
      </c>
      <c r="F423" s="12"/>
      <c r="P423" s="9"/>
    </row>
    <row r="424" spans="1:16">
      <c r="A424" s="12"/>
      <c r="B424" s="11" t="s">
        <v>1145</v>
      </c>
      <c r="C424" s="14"/>
      <c r="D424" s="14" t="s">
        <v>790</v>
      </c>
      <c r="E424" s="6">
        <v>0</v>
      </c>
      <c r="F424" s="12"/>
      <c r="P424" s="9"/>
    </row>
    <row r="425" spans="1:16">
      <c r="A425" s="12"/>
      <c r="B425" s="11" t="s">
        <v>1146</v>
      </c>
      <c r="C425" s="11"/>
      <c r="D425" s="11" t="s">
        <v>590</v>
      </c>
      <c r="E425" s="6">
        <v>0</v>
      </c>
      <c r="F425" s="12"/>
      <c r="P425" s="9"/>
    </row>
    <row r="426" spans="1:16">
      <c r="A426" s="12"/>
      <c r="B426" s="11" t="s">
        <v>1147</v>
      </c>
      <c r="C426" s="11"/>
      <c r="D426" s="11" t="s">
        <v>794</v>
      </c>
      <c r="E426" s="6">
        <v>0</v>
      </c>
      <c r="F426" s="12"/>
      <c r="P426" s="9"/>
    </row>
    <row r="427" spans="1:16">
      <c r="A427" s="12"/>
      <c r="B427" s="11" t="s">
        <v>1148</v>
      </c>
      <c r="C427" s="11"/>
      <c r="D427" s="11" t="s">
        <v>781</v>
      </c>
      <c r="E427" s="6">
        <v>0</v>
      </c>
      <c r="F427" s="12"/>
      <c r="P427" s="9"/>
    </row>
    <row r="428" spans="1:16">
      <c r="A428" s="12"/>
      <c r="B428" s="11" t="s">
        <v>1149</v>
      </c>
      <c r="C428" s="11"/>
      <c r="D428" s="11" t="s">
        <v>1150</v>
      </c>
      <c r="E428" s="6">
        <v>0</v>
      </c>
      <c r="F428" s="12"/>
      <c r="P428" s="9"/>
    </row>
    <row r="429" spans="1:16">
      <c r="A429" s="12"/>
      <c r="B429" s="11" t="s">
        <v>1151</v>
      </c>
      <c r="C429" s="11"/>
      <c r="D429" s="11" t="s">
        <v>1150</v>
      </c>
      <c r="E429" s="6">
        <v>0</v>
      </c>
      <c r="F429" s="12"/>
      <c r="P429" s="9"/>
    </row>
    <row r="430" spans="1:16">
      <c r="A430" s="12"/>
      <c r="B430" s="11" t="s">
        <v>1152</v>
      </c>
      <c r="C430" s="11"/>
      <c r="D430" s="11" t="s">
        <v>1126</v>
      </c>
      <c r="E430" s="6">
        <v>0</v>
      </c>
      <c r="F430" s="12"/>
      <c r="P430" s="9"/>
    </row>
    <row r="431" spans="1:16">
      <c r="A431" s="12"/>
      <c r="B431" s="11" t="s">
        <v>1153</v>
      </c>
      <c r="C431" s="11"/>
      <c r="D431" s="11" t="s">
        <v>741</v>
      </c>
      <c r="E431" s="6">
        <v>0</v>
      </c>
      <c r="F431" s="12"/>
      <c r="P431" s="9"/>
    </row>
    <row r="432" spans="1:16">
      <c r="A432" s="12"/>
      <c r="B432" s="11" t="s">
        <v>1154</v>
      </c>
      <c r="C432" s="11"/>
      <c r="D432" s="11" t="s">
        <v>741</v>
      </c>
      <c r="E432" s="6">
        <v>0</v>
      </c>
      <c r="F432" s="12"/>
      <c r="P432" s="9"/>
    </row>
    <row r="433" spans="1:16">
      <c r="A433" s="12"/>
      <c r="B433" s="11" t="s">
        <v>1155</v>
      </c>
      <c r="C433" s="11"/>
      <c r="D433" s="11" t="s">
        <v>799</v>
      </c>
      <c r="E433" s="6">
        <v>-3.03030303030302E-2</v>
      </c>
      <c r="F433" s="12"/>
      <c r="P433" s="9"/>
    </row>
    <row r="434" spans="1:16">
      <c r="A434" s="12"/>
      <c r="B434" s="11" t="s">
        <v>1156</v>
      </c>
      <c r="C434" s="14"/>
      <c r="D434" s="14" t="s">
        <v>902</v>
      </c>
      <c r="E434" s="6">
        <v>0</v>
      </c>
      <c r="F434" s="12"/>
      <c r="P434" s="9"/>
    </row>
    <row r="435" spans="1:16">
      <c r="A435" s="12"/>
      <c r="B435" s="11" t="s">
        <v>1157</v>
      </c>
      <c r="C435" s="14"/>
      <c r="D435" s="14" t="s">
        <v>902</v>
      </c>
      <c r="E435" s="6">
        <v>0</v>
      </c>
      <c r="F435" s="12"/>
      <c r="P435" s="9"/>
    </row>
    <row r="436" spans="1:16">
      <c r="A436" s="12"/>
      <c r="B436" s="11" t="s">
        <v>1158</v>
      </c>
      <c r="C436" s="11"/>
      <c r="D436" s="11" t="s">
        <v>871</v>
      </c>
      <c r="E436" s="6">
        <v>0</v>
      </c>
      <c r="F436" s="12"/>
      <c r="P436" s="9"/>
    </row>
    <row r="437" spans="1:16">
      <c r="A437" s="12"/>
      <c r="B437" s="11" t="s">
        <v>1159</v>
      </c>
      <c r="C437" s="11"/>
      <c r="D437" s="11" t="s">
        <v>871</v>
      </c>
      <c r="E437" s="6">
        <v>0</v>
      </c>
      <c r="F437" s="12"/>
      <c r="P437" s="9"/>
    </row>
    <row r="438" spans="1:16">
      <c r="A438" s="12"/>
      <c r="B438" s="11" t="s">
        <v>1160</v>
      </c>
      <c r="C438" s="11"/>
      <c r="D438" s="11" t="s">
        <v>1161</v>
      </c>
      <c r="E438" s="6">
        <v>0</v>
      </c>
      <c r="F438" s="12"/>
      <c r="P438" s="9"/>
    </row>
    <row r="439" spans="1:16">
      <c r="A439" s="12"/>
      <c r="B439" s="11" t="s">
        <v>1162</v>
      </c>
      <c r="C439" s="11"/>
      <c r="D439" s="11" t="s">
        <v>871</v>
      </c>
      <c r="E439" s="6">
        <v>0</v>
      </c>
      <c r="F439" s="12"/>
      <c r="P439" s="9"/>
    </row>
    <row r="440" spans="1:16">
      <c r="A440" s="12"/>
      <c r="B440" s="11" t="s">
        <v>1163</v>
      </c>
      <c r="C440" s="11"/>
      <c r="D440" s="11" t="s">
        <v>871</v>
      </c>
      <c r="E440" s="6">
        <v>0</v>
      </c>
      <c r="F440" s="12"/>
      <c r="P440" s="9"/>
    </row>
    <row r="441" spans="1:16">
      <c r="A441" s="12"/>
      <c r="B441" s="11" t="s">
        <v>1164</v>
      </c>
      <c r="C441" s="11"/>
      <c r="D441" s="11" t="s">
        <v>1165</v>
      </c>
      <c r="E441" s="6">
        <v>0</v>
      </c>
      <c r="F441" s="12"/>
      <c r="P441" s="9"/>
    </row>
    <row r="442" spans="1:16">
      <c r="A442" s="12"/>
      <c r="B442" s="11" t="s">
        <v>1166</v>
      </c>
      <c r="C442" s="11"/>
      <c r="D442" s="11" t="s">
        <v>630</v>
      </c>
      <c r="E442" s="6">
        <v>0</v>
      </c>
      <c r="F442" s="12"/>
      <c r="P442" s="9"/>
    </row>
    <row r="443" spans="1:16">
      <c r="A443" s="12"/>
      <c r="B443" s="11" t="s">
        <v>1167</v>
      </c>
      <c r="C443" s="11"/>
      <c r="D443" s="11" t="s">
        <v>638</v>
      </c>
      <c r="E443" s="6">
        <v>0</v>
      </c>
      <c r="F443" s="12"/>
      <c r="P443" s="9"/>
    </row>
    <row r="444" spans="1:16">
      <c r="A444" s="12"/>
      <c r="B444" s="11" t="s">
        <v>1168</v>
      </c>
      <c r="C444" s="11"/>
      <c r="D444" s="11" t="s">
        <v>697</v>
      </c>
      <c r="E444" s="6">
        <v>0</v>
      </c>
      <c r="F444" s="12"/>
      <c r="P444" s="9"/>
    </row>
    <row r="445" spans="1:16">
      <c r="A445" s="12"/>
      <c r="B445" s="11" t="s">
        <v>1169</v>
      </c>
      <c r="C445" s="11"/>
      <c r="D445" s="11" t="s">
        <v>559</v>
      </c>
      <c r="E445" s="6">
        <v>0</v>
      </c>
      <c r="F445" s="12"/>
      <c r="P445" s="9"/>
    </row>
    <row r="446" spans="1:16">
      <c r="A446" s="12"/>
      <c r="B446" s="11" t="s">
        <v>1170</v>
      </c>
      <c r="C446" s="11"/>
      <c r="D446" s="11" t="s">
        <v>561</v>
      </c>
      <c r="E446" s="6">
        <v>0</v>
      </c>
      <c r="F446" s="12"/>
      <c r="P446" s="9"/>
    </row>
    <row r="447" spans="1:16">
      <c r="A447" s="12"/>
      <c r="B447" s="11" t="s">
        <v>1171</v>
      </c>
      <c r="C447" s="11"/>
      <c r="D447" s="11" t="s">
        <v>567</v>
      </c>
      <c r="E447" s="6">
        <v>0</v>
      </c>
      <c r="F447" s="12"/>
      <c r="P447" s="9"/>
    </row>
    <row r="448" spans="1:16">
      <c r="A448" s="12"/>
      <c r="B448" s="11" t="s">
        <v>1172</v>
      </c>
      <c r="C448" s="11"/>
      <c r="D448" s="11" t="s">
        <v>794</v>
      </c>
      <c r="E448" s="6">
        <v>0</v>
      </c>
      <c r="F448" s="12"/>
      <c r="P448" s="9"/>
    </row>
    <row r="449" spans="1:16">
      <c r="A449" s="12"/>
      <c r="B449" s="11" t="s">
        <v>1173</v>
      </c>
      <c r="C449" s="11"/>
      <c r="D449" s="11" t="s">
        <v>565</v>
      </c>
      <c r="E449" s="6">
        <v>0</v>
      </c>
      <c r="F449" s="12"/>
      <c r="P449" s="9"/>
    </row>
    <row r="450" spans="1:16">
      <c r="A450" s="12"/>
      <c r="B450" s="11" t="s">
        <v>1174</v>
      </c>
      <c r="C450" s="11"/>
      <c r="D450" s="11" t="s">
        <v>1131</v>
      </c>
      <c r="E450" s="6">
        <v>0</v>
      </c>
      <c r="F450" s="12"/>
      <c r="P450" s="9"/>
    </row>
    <row r="451" spans="1:16">
      <c r="A451" s="12"/>
      <c r="B451" s="11" t="s">
        <v>1175</v>
      </c>
      <c r="C451" s="11"/>
      <c r="D451" s="11" t="s">
        <v>794</v>
      </c>
      <c r="E451" s="6">
        <v>0</v>
      </c>
      <c r="F451" s="12"/>
      <c r="P451" s="9"/>
    </row>
    <row r="452" spans="1:16">
      <c r="A452" s="12"/>
      <c r="B452" s="11" t="s">
        <v>1176</v>
      </c>
      <c r="C452" s="11"/>
      <c r="D452" s="11" t="s">
        <v>565</v>
      </c>
      <c r="E452" s="6">
        <v>0</v>
      </c>
      <c r="F452" s="12"/>
      <c r="P452" s="9"/>
    </row>
    <row r="453" spans="1:16">
      <c r="A453" s="12"/>
      <c r="B453" s="11" t="s">
        <v>1177</v>
      </c>
      <c r="C453" s="11"/>
      <c r="D453" s="11" t="s">
        <v>592</v>
      </c>
      <c r="E453" s="6">
        <v>0</v>
      </c>
      <c r="F453" s="12"/>
      <c r="P453" s="9"/>
    </row>
    <row r="454" spans="1:16">
      <c r="A454" s="12"/>
      <c r="B454" s="11" t="s">
        <v>1178</v>
      </c>
      <c r="C454" s="11"/>
      <c r="D454" s="11" t="s">
        <v>592</v>
      </c>
      <c r="E454" s="6">
        <v>0</v>
      </c>
      <c r="F454" s="12"/>
      <c r="P454" s="9"/>
    </row>
    <row r="455" spans="1:16">
      <c r="A455" s="12"/>
      <c r="B455" s="11" t="s">
        <v>1179</v>
      </c>
      <c r="C455" s="11"/>
      <c r="D455" s="11" t="s">
        <v>592</v>
      </c>
      <c r="E455" s="6">
        <v>0</v>
      </c>
      <c r="F455" s="12"/>
      <c r="P455" s="9"/>
    </row>
    <row r="456" spans="1:16">
      <c r="A456" s="12"/>
      <c r="B456" s="11" t="s">
        <v>1180</v>
      </c>
      <c r="C456" s="11"/>
      <c r="D456" s="11" t="s">
        <v>592</v>
      </c>
      <c r="E456" s="6">
        <v>0</v>
      </c>
      <c r="F456" s="12"/>
      <c r="P456" s="9"/>
    </row>
    <row r="457" spans="1:16">
      <c r="A457" s="12"/>
      <c r="B457" s="11" t="s">
        <v>1181</v>
      </c>
      <c r="C457" s="11"/>
      <c r="D457" s="11" t="s">
        <v>592</v>
      </c>
      <c r="E457" s="6">
        <v>0</v>
      </c>
      <c r="F457" s="12"/>
      <c r="P457" s="9"/>
    </row>
    <row r="458" spans="1:16">
      <c r="A458" s="12"/>
      <c r="B458" s="11" t="s">
        <v>1182</v>
      </c>
      <c r="C458" s="11"/>
      <c r="D458" s="11" t="s">
        <v>592</v>
      </c>
      <c r="E458" s="6">
        <v>0</v>
      </c>
      <c r="F458" s="12"/>
      <c r="P458" s="9"/>
    </row>
    <row r="459" spans="1:16">
      <c r="A459" s="12"/>
      <c r="B459" s="11" t="s">
        <v>1183</v>
      </c>
      <c r="C459" s="11"/>
      <c r="D459" s="11" t="s">
        <v>1184</v>
      </c>
      <c r="E459" s="6">
        <v>0</v>
      </c>
      <c r="F459" s="12"/>
      <c r="P459" s="9"/>
    </row>
    <row r="460" spans="1:16">
      <c r="A460" s="12"/>
      <c r="B460" s="11" t="s">
        <v>1185</v>
      </c>
      <c r="C460" s="11"/>
      <c r="D460" s="11" t="s">
        <v>1184</v>
      </c>
      <c r="E460" s="6">
        <v>0</v>
      </c>
      <c r="F460" s="12"/>
      <c r="P460" s="9"/>
    </row>
    <row r="461" spans="1:16">
      <c r="A461" s="12"/>
      <c r="B461" s="11" t="s">
        <v>1186</v>
      </c>
      <c r="C461" s="11"/>
      <c r="D461" s="11" t="s">
        <v>1187</v>
      </c>
      <c r="E461" s="6">
        <v>0</v>
      </c>
      <c r="F461" s="12"/>
      <c r="P461" s="9"/>
    </row>
    <row r="462" spans="1:16">
      <c r="A462" s="12"/>
      <c r="B462" s="11" t="s">
        <v>1188</v>
      </c>
      <c r="C462" s="11"/>
      <c r="D462" s="11" t="s">
        <v>1189</v>
      </c>
      <c r="E462" s="6">
        <v>0</v>
      </c>
      <c r="F462" s="12"/>
      <c r="P462" s="9"/>
    </row>
    <row r="463" spans="1:16">
      <c r="A463" s="12"/>
      <c r="B463" s="11" t="s">
        <v>1190</v>
      </c>
      <c r="C463" s="11"/>
      <c r="D463" s="11" t="s">
        <v>1189</v>
      </c>
      <c r="E463" s="6">
        <v>0</v>
      </c>
      <c r="F463" s="12"/>
      <c r="P463" s="9"/>
    </row>
    <row r="464" spans="1:16">
      <c r="A464" s="12"/>
      <c r="B464" s="11" t="s">
        <v>1191</v>
      </c>
      <c r="C464" s="11"/>
      <c r="D464" s="11" t="s">
        <v>994</v>
      </c>
      <c r="E464" s="6">
        <v>0</v>
      </c>
      <c r="F464" s="12"/>
      <c r="P464" s="9"/>
    </row>
    <row r="465" spans="1:16">
      <c r="A465" s="12"/>
      <c r="B465" s="11" t="s">
        <v>1192</v>
      </c>
      <c r="C465" s="11"/>
      <c r="D465" s="11" t="s">
        <v>1193</v>
      </c>
      <c r="E465" s="6">
        <v>0</v>
      </c>
      <c r="F465" s="12"/>
      <c r="P465" s="9"/>
    </row>
    <row r="466" spans="1:16">
      <c r="A466" s="12"/>
      <c r="B466" s="11" t="s">
        <v>1194</v>
      </c>
      <c r="C466" s="11"/>
      <c r="D466" s="11" t="s">
        <v>664</v>
      </c>
      <c r="E466" s="6">
        <v>0</v>
      </c>
      <c r="F466" s="12"/>
      <c r="P466" s="9"/>
    </row>
    <row r="467" spans="1:16">
      <c r="A467" s="12"/>
      <c r="B467" s="11" t="s">
        <v>1195</v>
      </c>
      <c r="C467" s="11"/>
      <c r="D467" s="11" t="s">
        <v>1072</v>
      </c>
      <c r="E467" s="6">
        <v>0</v>
      </c>
      <c r="F467" s="12"/>
      <c r="P467" s="9"/>
    </row>
    <row r="468" spans="1:16">
      <c r="A468" s="12"/>
      <c r="B468" s="11" t="s">
        <v>1196</v>
      </c>
      <c r="C468" s="11"/>
      <c r="D468" s="11" t="s">
        <v>781</v>
      </c>
      <c r="E468" s="6">
        <v>0</v>
      </c>
      <c r="F468" s="12"/>
      <c r="P468" s="9"/>
    </row>
    <row r="469" spans="1:16">
      <c r="A469" s="12"/>
      <c r="B469" s="11" t="s">
        <v>1197</v>
      </c>
      <c r="C469" s="11"/>
      <c r="D469" s="11" t="s">
        <v>1193</v>
      </c>
      <c r="E469" s="6">
        <v>0</v>
      </c>
      <c r="F469" s="12"/>
      <c r="P469" s="9"/>
    </row>
    <row r="470" spans="1:16">
      <c r="A470" s="12"/>
      <c r="B470" s="11" t="s">
        <v>1198</v>
      </c>
      <c r="C470" s="11"/>
      <c r="D470" s="11" t="s">
        <v>1199</v>
      </c>
      <c r="E470" s="6">
        <v>0</v>
      </c>
      <c r="F470" s="12"/>
      <c r="P470" s="9"/>
    </row>
    <row r="471" spans="1:16">
      <c r="A471" s="12"/>
      <c r="B471" s="11" t="s">
        <v>1200</v>
      </c>
      <c r="C471" s="11"/>
      <c r="D471" s="11" t="s">
        <v>977</v>
      </c>
      <c r="E471" s="6">
        <v>0</v>
      </c>
      <c r="F471" s="12"/>
      <c r="P471" s="9"/>
    </row>
    <row r="472" spans="1:16">
      <c r="A472" s="12"/>
      <c r="B472" s="11" t="s">
        <v>1201</v>
      </c>
      <c r="C472" s="11"/>
      <c r="D472" s="11" t="s">
        <v>977</v>
      </c>
      <c r="E472" s="6">
        <v>0</v>
      </c>
      <c r="F472" s="12"/>
      <c r="P472" s="9"/>
    </row>
    <row r="473" spans="1:16">
      <c r="A473" s="12"/>
      <c r="B473" s="11" t="s">
        <v>1202</v>
      </c>
      <c r="C473" s="11"/>
      <c r="D473" s="11" t="s">
        <v>1203</v>
      </c>
      <c r="E473" s="6">
        <v>0</v>
      </c>
      <c r="F473" s="12"/>
      <c r="P473" s="9"/>
    </row>
    <row r="474" spans="1:16">
      <c r="A474" s="12"/>
      <c r="B474" s="11" t="s">
        <v>1204</v>
      </c>
      <c r="C474" s="11"/>
      <c r="D474" s="87" t="s">
        <v>1205</v>
      </c>
      <c r="E474" s="6">
        <v>0</v>
      </c>
      <c r="F474" s="12"/>
      <c r="P474" s="9"/>
    </row>
    <row r="475" spans="1:16">
      <c r="A475" s="10" t="s">
        <v>1206</v>
      </c>
      <c r="B475" s="11" t="s">
        <v>1207</v>
      </c>
      <c r="C475" s="11"/>
      <c r="D475" s="11" t="s">
        <v>1122</v>
      </c>
      <c r="E475" s="6">
        <v>0</v>
      </c>
      <c r="F475" s="12"/>
      <c r="P475" s="9"/>
    </row>
    <row r="476" spans="1:16">
      <c r="A476" s="12"/>
      <c r="B476" s="11" t="s">
        <v>1208</v>
      </c>
      <c r="C476" s="11"/>
      <c r="D476" s="11" t="s">
        <v>1209</v>
      </c>
      <c r="E476" s="6">
        <v>0</v>
      </c>
      <c r="F476" s="12"/>
      <c r="P476" s="9"/>
    </row>
    <row r="477" spans="1:16">
      <c r="A477" s="15"/>
      <c r="B477" s="11" t="s">
        <v>1210</v>
      </c>
      <c r="C477" s="11"/>
      <c r="D477" s="11" t="s">
        <v>817</v>
      </c>
      <c r="E477" s="6">
        <v>0</v>
      </c>
      <c r="F477" s="15"/>
      <c r="P477" s="9"/>
    </row>
    <row r="478" spans="1:16">
      <c r="A478" s="10" t="s">
        <v>1206</v>
      </c>
      <c r="B478" s="11" t="s">
        <v>1211</v>
      </c>
      <c r="C478" s="11"/>
      <c r="D478" s="11" t="s">
        <v>590</v>
      </c>
      <c r="E478" s="6">
        <v>0</v>
      </c>
      <c r="F478" s="12"/>
      <c r="P478" s="9"/>
    </row>
    <row r="479" spans="1:16">
      <c r="A479" s="12"/>
      <c r="B479" s="11" t="s">
        <v>1212</v>
      </c>
      <c r="C479" s="11"/>
      <c r="D479" s="11" t="s">
        <v>794</v>
      </c>
      <c r="E479" s="6">
        <v>0</v>
      </c>
      <c r="F479" s="12"/>
      <c r="P479" s="9"/>
    </row>
    <row r="480" spans="1:16">
      <c r="A480" s="12"/>
      <c r="B480" s="11" t="s">
        <v>1213</v>
      </c>
      <c r="C480" s="11"/>
      <c r="D480" s="11" t="s">
        <v>700</v>
      </c>
      <c r="E480" s="6">
        <v>0</v>
      </c>
      <c r="F480" s="12"/>
      <c r="P480" s="9"/>
    </row>
    <row r="481" spans="1:16">
      <c r="A481" s="12"/>
      <c r="B481" s="11" t="s">
        <v>1214</v>
      </c>
      <c r="C481" s="11"/>
      <c r="D481" s="11" t="s">
        <v>1215</v>
      </c>
      <c r="E481" s="6">
        <v>0</v>
      </c>
      <c r="F481" s="12"/>
      <c r="P481" s="9"/>
    </row>
    <row r="482" spans="1:16">
      <c r="A482" s="12"/>
      <c r="B482" s="11" t="s">
        <v>1216</v>
      </c>
      <c r="C482" s="11"/>
      <c r="D482" s="11" t="s">
        <v>1215</v>
      </c>
      <c r="E482" s="6">
        <v>0</v>
      </c>
      <c r="F482" s="12"/>
      <c r="P482" s="9"/>
    </row>
    <row r="483" spans="1:16">
      <c r="A483" s="12"/>
      <c r="B483" s="11" t="s">
        <v>1217</v>
      </c>
      <c r="C483" s="11"/>
      <c r="D483" s="11" t="s">
        <v>1218</v>
      </c>
      <c r="E483" s="6">
        <v>0</v>
      </c>
      <c r="F483" s="12"/>
      <c r="P483" s="9"/>
    </row>
    <row r="484" spans="1:16">
      <c r="A484" s="12"/>
      <c r="B484" s="11" t="s">
        <v>1219</v>
      </c>
      <c r="C484" s="11"/>
      <c r="D484" s="11" t="s">
        <v>741</v>
      </c>
      <c r="E484" s="6">
        <v>0</v>
      </c>
      <c r="F484" s="12"/>
      <c r="P484" s="9"/>
    </row>
    <row r="485" spans="1:16">
      <c r="A485" s="12"/>
      <c r="B485" s="11" t="s">
        <v>1220</v>
      </c>
      <c r="C485" s="11"/>
      <c r="D485" s="11" t="s">
        <v>741</v>
      </c>
      <c r="E485" s="6">
        <v>0</v>
      </c>
      <c r="F485" s="12"/>
      <c r="P485" s="9"/>
    </row>
    <row r="486" spans="1:16">
      <c r="A486" s="12"/>
      <c r="B486" s="11" t="s">
        <v>1221</v>
      </c>
      <c r="C486" s="11"/>
      <c r="D486" s="11" t="s">
        <v>1189</v>
      </c>
      <c r="E486" s="6">
        <v>0</v>
      </c>
      <c r="F486" s="12"/>
      <c r="P486" s="9"/>
    </row>
    <row r="487" spans="1:16">
      <c r="A487" s="12"/>
      <c r="B487" s="11" t="s">
        <v>1222</v>
      </c>
      <c r="C487" s="11"/>
      <c r="D487" s="11" t="s">
        <v>1223</v>
      </c>
      <c r="E487" s="6">
        <v>0</v>
      </c>
      <c r="F487" s="12"/>
      <c r="P487" s="9"/>
    </row>
    <row r="488" spans="1:16">
      <c r="A488" s="12"/>
      <c r="B488" s="11" t="s">
        <v>1224</v>
      </c>
      <c r="C488" s="11"/>
      <c r="D488" s="11" t="s">
        <v>697</v>
      </c>
      <c r="E488" s="6">
        <v>0</v>
      </c>
      <c r="F488" s="12"/>
      <c r="P488" s="9"/>
    </row>
    <row r="489" spans="1:16">
      <c r="A489" s="12"/>
      <c r="B489" s="11" t="s">
        <v>1225</v>
      </c>
      <c r="C489" s="11"/>
      <c r="D489" s="11" t="s">
        <v>1226</v>
      </c>
      <c r="E489" s="6">
        <v>0</v>
      </c>
      <c r="F489" s="12"/>
      <c r="P489" s="9"/>
    </row>
    <row r="490" spans="1:16">
      <c r="A490" s="12"/>
      <c r="B490" s="11" t="s">
        <v>1227</v>
      </c>
      <c r="C490" s="11"/>
      <c r="D490" s="11" t="s">
        <v>569</v>
      </c>
      <c r="E490" s="6">
        <v>0</v>
      </c>
      <c r="F490" s="12"/>
      <c r="P490" s="9"/>
    </row>
    <row r="491" spans="1:16">
      <c r="A491" s="12"/>
      <c r="B491" s="11" t="s">
        <v>1228</v>
      </c>
      <c r="C491" s="11"/>
      <c r="D491" s="11" t="s">
        <v>569</v>
      </c>
      <c r="E491" s="6">
        <v>0</v>
      </c>
      <c r="F491" s="12"/>
      <c r="P491" s="9"/>
    </row>
    <row r="492" spans="1:16">
      <c r="A492" s="12"/>
      <c r="B492" s="11" t="s">
        <v>1229</v>
      </c>
      <c r="C492" s="11"/>
      <c r="D492" s="11" t="s">
        <v>1230</v>
      </c>
      <c r="E492" s="6">
        <v>0</v>
      </c>
      <c r="F492" s="12"/>
      <c r="P492" s="9"/>
    </row>
    <row r="493" spans="1:16">
      <c r="A493" s="12"/>
      <c r="B493" s="11" t="s">
        <v>1231</v>
      </c>
      <c r="C493" s="11"/>
      <c r="D493" s="11" t="s">
        <v>615</v>
      </c>
      <c r="E493" s="6">
        <v>0</v>
      </c>
      <c r="F493" s="12"/>
      <c r="P493" s="9"/>
    </row>
    <row r="494" spans="1:16">
      <c r="A494" s="12"/>
      <c r="B494" s="11" t="s">
        <v>1232</v>
      </c>
      <c r="C494" s="11"/>
      <c r="D494" s="11" t="s">
        <v>617</v>
      </c>
      <c r="E494" s="6">
        <v>0</v>
      </c>
      <c r="F494" s="12"/>
      <c r="P494" s="9"/>
    </row>
    <row r="495" spans="1:16">
      <c r="A495" s="12"/>
      <c r="B495" s="11" t="s">
        <v>1233</v>
      </c>
      <c r="C495" s="11"/>
      <c r="D495" s="11" t="s">
        <v>579</v>
      </c>
      <c r="E495" s="6">
        <v>0</v>
      </c>
      <c r="F495" s="12"/>
      <c r="P495" s="9"/>
    </row>
    <row r="496" spans="1:16">
      <c r="A496" s="12"/>
      <c r="B496" s="11" t="s">
        <v>1234</v>
      </c>
      <c r="C496" s="11"/>
      <c r="D496" s="11" t="s">
        <v>1235</v>
      </c>
      <c r="E496" s="6">
        <v>0</v>
      </c>
      <c r="F496" s="12"/>
      <c r="P496" s="9"/>
    </row>
    <row r="497" spans="1:16">
      <c r="A497" s="12"/>
      <c r="B497" s="11" t="s">
        <v>1236</v>
      </c>
      <c r="C497" s="11"/>
      <c r="D497" s="11" t="s">
        <v>702</v>
      </c>
      <c r="E497" s="6">
        <v>0</v>
      </c>
      <c r="F497" s="12"/>
      <c r="P497" s="9"/>
    </row>
    <row r="498" spans="1:16">
      <c r="A498" s="12"/>
      <c r="B498" s="11" t="s">
        <v>1237</v>
      </c>
      <c r="C498" s="11"/>
      <c r="D498" s="11" t="s">
        <v>592</v>
      </c>
      <c r="E498" s="6">
        <v>0</v>
      </c>
      <c r="F498" s="12"/>
      <c r="P498" s="9"/>
    </row>
    <row r="499" spans="1:16">
      <c r="A499" s="12"/>
      <c r="B499" s="11" t="s">
        <v>1238</v>
      </c>
      <c r="C499" s="11"/>
      <c r="D499" s="11" t="s">
        <v>621</v>
      </c>
      <c r="E499" s="6">
        <v>0</v>
      </c>
      <c r="F499" s="12"/>
      <c r="P499" s="9"/>
    </row>
    <row r="500" spans="1:16">
      <c r="A500" s="12"/>
      <c r="B500" s="11" t="s">
        <v>1239</v>
      </c>
      <c r="C500" s="11"/>
      <c r="D500" s="11" t="s">
        <v>609</v>
      </c>
      <c r="E500" s="6">
        <v>0</v>
      </c>
      <c r="F500" s="12"/>
      <c r="P500" s="9"/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并发场景</vt:lpstr>
      <vt:lpstr>综合打分</vt:lpstr>
      <vt:lpstr>Response Time </vt:lpstr>
      <vt:lpstr>App Sources</vt:lpstr>
      <vt:lpstr>Baidu 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Lu Lu (L.)</dc:creator>
  <cp:keywords/>
  <dc:description/>
  <cp:lastModifiedBy>Microsoft Office User</cp:lastModifiedBy>
  <cp:revision/>
  <dcterms:created xsi:type="dcterms:W3CDTF">2015-06-06T18:17:00Z</dcterms:created>
  <dcterms:modified xsi:type="dcterms:W3CDTF">2022-09-08T05:17:26Z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F4ABF0BB447132F03D23DE62B3BBC6BC</vt:lpwstr>
  </property>
</Properties>
</file>