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orgensen\Desktop\"/>
    </mc:Choice>
  </mc:AlternateContent>
  <bookViews>
    <workbookView xWindow="0" yWindow="0" windowWidth="28800" windowHeight="12210" activeTab="1"/>
  </bookViews>
  <sheets>
    <sheet name="Summary" sheetId="1" r:id="rId1"/>
    <sheet name="Tangible Benefits" sheetId="2" r:id="rId2"/>
    <sheet name="Tangible Costs" sheetId="3" r:id="rId3"/>
    <sheet name="One Time Costs" sheetId="4" r:id="rId4"/>
    <sheet name="Recurring Costs" sheetId="5" r:id="rId5"/>
    <sheet name="Breakeven Char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H11" i="2"/>
  <c r="I11" i="2"/>
  <c r="J11" i="2"/>
  <c r="G11" i="2"/>
  <c r="C41" i="6" l="1"/>
  <c r="D41" i="6" l="1"/>
  <c r="E41" i="6" s="1"/>
  <c r="F41" i="6" s="1"/>
  <c r="G41" i="6" s="1"/>
  <c r="H12" i="2"/>
  <c r="I12" i="2"/>
  <c r="J12" i="2"/>
  <c r="K12" i="2"/>
  <c r="G12" i="2"/>
  <c r="H10" i="2"/>
  <c r="I10" i="2"/>
  <c r="J10" i="2"/>
  <c r="K10" i="2"/>
  <c r="G10" i="2"/>
  <c r="H12" i="5"/>
  <c r="I12" i="5"/>
  <c r="J12" i="5"/>
  <c r="K12" i="5"/>
  <c r="G12" i="5"/>
  <c r="H10" i="5"/>
  <c r="I10" i="5"/>
  <c r="J10" i="5"/>
  <c r="K10" i="5"/>
  <c r="G10" i="5"/>
  <c r="G12" i="4"/>
  <c r="H12" i="4"/>
  <c r="I12" i="4"/>
  <c r="J12" i="4"/>
  <c r="K12" i="4"/>
  <c r="G11" i="4"/>
  <c r="H11" i="4"/>
  <c r="I11" i="4"/>
  <c r="J11" i="4"/>
  <c r="K11" i="4"/>
  <c r="F12" i="4"/>
  <c r="F11" i="4"/>
  <c r="K14" i="4" l="1"/>
  <c r="J14" i="4"/>
  <c r="I14" i="4"/>
  <c r="H14" i="4"/>
  <c r="G14" i="4"/>
  <c r="F14" i="4"/>
  <c r="F10" i="3" s="1"/>
  <c r="F12" i="3" s="1"/>
  <c r="G13" i="2"/>
  <c r="G11" i="5"/>
  <c r="G13" i="5"/>
  <c r="G20" i="1" s="1"/>
  <c r="G22" i="1" s="1"/>
  <c r="H13" i="2"/>
  <c r="H10" i="1" s="1"/>
  <c r="H12" i="1" s="1"/>
  <c r="H11" i="5"/>
  <c r="H13" i="5"/>
  <c r="H20" i="1" s="1"/>
  <c r="H22" i="1" s="1"/>
  <c r="F17" i="1"/>
  <c r="I11" i="5"/>
  <c r="I13" i="5"/>
  <c r="I20" i="1" s="1"/>
  <c r="I22" i="1" s="1"/>
  <c r="J11" i="5"/>
  <c r="J13" i="5"/>
  <c r="J20" i="1" s="1"/>
  <c r="J22" i="1" s="1"/>
  <c r="K11" i="5"/>
  <c r="K13" i="5"/>
  <c r="K20" i="1"/>
  <c r="K22" i="1" s="1"/>
  <c r="I13" i="2"/>
  <c r="I10" i="1" s="1"/>
  <c r="I12" i="1" s="1"/>
  <c r="J13" i="2"/>
  <c r="J10" i="1" s="1"/>
  <c r="J12" i="1" s="1"/>
  <c r="K13" i="2"/>
  <c r="K10" i="1" s="1"/>
  <c r="K12" i="1" s="1"/>
  <c r="G10" i="4"/>
  <c r="H10" i="4"/>
  <c r="I10" i="4"/>
  <c r="J10" i="4"/>
  <c r="K10" i="4"/>
  <c r="K21" i="1"/>
  <c r="J21" i="1"/>
  <c r="I21" i="1"/>
  <c r="H21" i="1"/>
  <c r="G21" i="1"/>
  <c r="J11" i="1"/>
  <c r="I11" i="1"/>
  <c r="H11" i="1"/>
  <c r="G11" i="1"/>
  <c r="F10" i="4"/>
  <c r="K11" i="3"/>
  <c r="K12" i="3" s="1"/>
  <c r="I11" i="3"/>
  <c r="I12" i="3" s="1"/>
  <c r="G10" i="1" l="1"/>
  <c r="G12" i="1" s="1"/>
  <c r="G33" i="1" s="1"/>
  <c r="G34" i="1" s="1"/>
  <c r="C42" i="6"/>
  <c r="D42" i="6" s="1"/>
  <c r="E42" i="6" s="1"/>
  <c r="F42" i="6" s="1"/>
  <c r="G42" i="6" s="1"/>
  <c r="H11" i="3"/>
  <c r="H12" i="3" s="1"/>
  <c r="J11" i="3"/>
  <c r="J12" i="3" s="1"/>
  <c r="H33" i="1"/>
  <c r="K33" i="1"/>
  <c r="J33" i="1"/>
  <c r="I33" i="1"/>
  <c r="G24" i="1"/>
  <c r="H24" i="1" s="1"/>
  <c r="I24" i="1" s="1"/>
  <c r="G11" i="3"/>
  <c r="G12" i="3" s="1"/>
  <c r="G14" i="1" l="1"/>
  <c r="H14" i="1"/>
  <c r="I14" i="1" s="1"/>
  <c r="H34" i="1"/>
  <c r="I34" i="1" s="1"/>
  <c r="J34" i="1" s="1"/>
  <c r="K34" i="1" s="1"/>
  <c r="J24" i="1"/>
  <c r="G39" i="1" l="1"/>
  <c r="K24" i="1"/>
  <c r="J14" i="1"/>
  <c r="M24" i="1" l="1"/>
  <c r="K14" i="1"/>
  <c r="M14" i="1" l="1"/>
  <c r="M26" i="1" s="1"/>
  <c r="M29" i="1" s="1"/>
</calcChain>
</file>

<file path=xl/sharedStrings.xml><?xml version="1.0" encoding="utf-8"?>
<sst xmlns="http://schemas.openxmlformats.org/spreadsheetml/2006/main" count="112" uniqueCount="64">
  <si>
    <t>Team Awesome</t>
  </si>
  <si>
    <t>Economic Feasibility Analysis</t>
  </si>
  <si>
    <t>Summary Sheet</t>
  </si>
  <si>
    <t>Net Economic Benefit</t>
  </si>
  <si>
    <t>Discount Rate (10%)</t>
  </si>
  <si>
    <t>PV of Benefits</t>
  </si>
  <si>
    <t>NPV of all Benefits</t>
  </si>
  <si>
    <t>Onetime Costs</t>
  </si>
  <si>
    <t>Recurring Costs</t>
  </si>
  <si>
    <t>PV of Recurring Costs</t>
  </si>
  <si>
    <t>NPV of all Costs</t>
  </si>
  <si>
    <t>Year 0</t>
  </si>
  <si>
    <t>Year 1</t>
  </si>
  <si>
    <t>Year 2</t>
  </si>
  <si>
    <t>Year 3</t>
  </si>
  <si>
    <t>Overall NPV</t>
  </si>
  <si>
    <t>ROI (Overall NPV/NPV of Costs)</t>
  </si>
  <si>
    <t>Break-even Analysis</t>
  </si>
  <si>
    <t>Yearly NPV Cash Flow</t>
  </si>
  <si>
    <t>Overall NPV Cash Flow</t>
  </si>
  <si>
    <t xml:space="preserve">Team Awesome </t>
  </si>
  <si>
    <t>Tangible Benefits</t>
  </si>
  <si>
    <t>Breakeven Point between years 0 and 1</t>
  </si>
  <si>
    <t>Use the first year positive cash flow to calculate the breakeven fraction</t>
  </si>
  <si>
    <t>Actual breakeven occurred at</t>
  </si>
  <si>
    <t>Year 4</t>
  </si>
  <si>
    <t>Year 5</t>
  </si>
  <si>
    <t>Justification</t>
  </si>
  <si>
    <t>Total Savings</t>
  </si>
  <si>
    <t xml:space="preserve">3 Potential Cost Saving Benefits </t>
  </si>
  <si>
    <t>Reduced amount of time to take inventory</t>
  </si>
  <si>
    <t xml:space="preserve">Year 0 </t>
  </si>
  <si>
    <t>Economic Feasability</t>
  </si>
  <si>
    <t>One Time Costs</t>
  </si>
  <si>
    <t>SUM</t>
  </si>
  <si>
    <t>Purchase of Access</t>
  </si>
  <si>
    <t>Documentation</t>
  </si>
  <si>
    <t>Developmental Costs</t>
  </si>
  <si>
    <t>Need purchase of Access to begin Developmental Process ($200)</t>
  </si>
  <si>
    <t>Economic Feasability Analysis</t>
  </si>
  <si>
    <t>Database Maintenance</t>
  </si>
  <si>
    <t>Access License Renewal</t>
  </si>
  <si>
    <t>Ongoing Documentation</t>
  </si>
  <si>
    <t>Need to renew Access License to continue code and database maintenance ($200/year)</t>
  </si>
  <si>
    <t>Tangible Cost</t>
  </si>
  <si>
    <t>Total Onetime Costs</t>
  </si>
  <si>
    <t>Total Recurring Costs</t>
  </si>
  <si>
    <t>Total Tangible Costs</t>
  </si>
  <si>
    <t>Breakeven Chart</t>
  </si>
  <si>
    <t>Purchase of Hardware</t>
  </si>
  <si>
    <t>Purchase of Dell Computer that has capability of running windows ($629.99) and purchase of External hard drive for backup purposes ($54.99)</t>
  </si>
  <si>
    <t>Documenation Process to lay out process Developmental Process ($20/hour/developer * 1 * 50 hours)</t>
  </si>
  <si>
    <t>Development of Dashboard/Interface/Database ($20/hour/developer * 1 * 144 hours)</t>
  </si>
  <si>
    <t>Better Invoice Tracking</t>
  </si>
  <si>
    <t>Currently, it takes two hours to take inventory, this system would reduce that to ~30 minutes. (1 employee * $12/hr * 26 hours)</t>
  </si>
  <si>
    <t>A certain amount of invoices are placed each week, or every two weeks. This would help keep track of what has been ordered, and what invoices have been completed (1 employee * $12/hr * 25 hours + 1 employee * $12/hr * 52 hours)</t>
  </si>
  <si>
    <t>Better Inventory Tracking</t>
  </si>
  <si>
    <t>One-Time Costs</t>
  </si>
  <si>
    <t>Yearly Costs</t>
  </si>
  <si>
    <t>Update Inventory with possible new product ($20/hour/developer * 1 * 5 hours)</t>
  </si>
  <si>
    <t>Update Ongoing Documentation for Client ($20/hour/developer * 1 * 5 hours)</t>
  </si>
  <si>
    <t xml:space="preserve"> Yearly Benefits</t>
  </si>
  <si>
    <t>(6 employees (4 barbacks &amp; 2 managers) * $12/hr * 40 hours).</t>
  </si>
  <si>
    <t>Currently, pull-inventory reports are being calculated and generated on paper. Each manager will be able to generate pull-inventory reports with calculations already completed, and each of the 6 employees will be able to bring out inventory more quickly and accurately.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</si>
</sst>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44" fontId="3" fillId="0" borderId="0" xfId="0" applyNumberFormat="1" applyFont="1"/>
    <xf numFmtId="0" fontId="3" fillId="0" borderId="0" xfId="0" applyFont="1"/>
    <xf numFmtId="10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2">
    <cellStyle name="Currency" xfId="1" builtinId="4"/>
    <cellStyle name="Normal" xfId="0" builtinId="0"/>
  </cellStyles>
  <dxfs count="7">
    <dxf>
      <font>
        <color rgb="FFC00000"/>
      </font>
      <fill>
        <patternFill>
          <bgColor rgb="FFFF757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57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Chart'!$A$41</c:f>
              <c:strCache>
                <c:ptCount val="1"/>
                <c:pt idx="0">
                  <c:v>Yearly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Chart'!$B$40:$G$40</c:f>
              <c:strCache>
                <c:ptCount val="6"/>
                <c:pt idx="0">
                  <c:v> Year 0 </c:v>
                </c:pt>
                <c:pt idx="1">
                  <c:v> Year 1 </c:v>
                </c:pt>
                <c:pt idx="2">
                  <c:v> Year 2 </c:v>
                </c:pt>
                <c:pt idx="3">
                  <c:v> Year 3 </c:v>
                </c:pt>
                <c:pt idx="4">
                  <c:v> Year 4 </c:v>
                </c:pt>
                <c:pt idx="5">
                  <c:v> Year 5 </c:v>
                </c:pt>
              </c:strCache>
            </c:strRef>
          </c:cat>
          <c:val>
            <c:numRef>
              <c:f>'Breakeven Chart'!$B$41:$G$41</c:f>
              <c:numCache>
                <c:formatCode>_("$"* #,##0.00_);_("$"* \(#,##0.00\);_("$"* "-"??_);_(@_)</c:formatCode>
                <c:ptCount val="6"/>
                <c:pt idx="0">
                  <c:v>6644.98</c:v>
                </c:pt>
                <c:pt idx="1">
                  <c:v>7044.98</c:v>
                </c:pt>
                <c:pt idx="2">
                  <c:v>7444.98</c:v>
                </c:pt>
                <c:pt idx="3">
                  <c:v>7844.98</c:v>
                </c:pt>
                <c:pt idx="4">
                  <c:v>8244.98</c:v>
                </c:pt>
                <c:pt idx="5">
                  <c:v>8644.98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6-4AE3-992E-B3FD312E1080}"/>
            </c:ext>
          </c:extLst>
        </c:ser>
        <c:ser>
          <c:idx val="1"/>
          <c:order val="1"/>
          <c:tx>
            <c:strRef>
              <c:f>'Breakeven Chart'!$A$42</c:f>
              <c:strCache>
                <c:ptCount val="1"/>
                <c:pt idx="0">
                  <c:v> Yearly Benefits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'Breakeven Chart'!$B$40:$G$40</c:f>
              <c:strCache>
                <c:ptCount val="6"/>
                <c:pt idx="0">
                  <c:v> Year 0 </c:v>
                </c:pt>
                <c:pt idx="1">
                  <c:v> Year 1 </c:v>
                </c:pt>
                <c:pt idx="2">
                  <c:v> Year 2 </c:v>
                </c:pt>
                <c:pt idx="3">
                  <c:v> Year 3 </c:v>
                </c:pt>
                <c:pt idx="4">
                  <c:v> Year 4 </c:v>
                </c:pt>
                <c:pt idx="5">
                  <c:v> Year 5 </c:v>
                </c:pt>
              </c:strCache>
            </c:strRef>
          </c:cat>
          <c:val>
            <c:numRef>
              <c:f>'Breakeven Chart'!$B$42:$G$42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4194</c:v>
                </c:pt>
                <c:pt idx="2">
                  <c:v>8388</c:v>
                </c:pt>
                <c:pt idx="3">
                  <c:v>12582</c:v>
                </c:pt>
                <c:pt idx="4">
                  <c:v>16776</c:v>
                </c:pt>
                <c:pt idx="5">
                  <c:v>20970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6-4AE3-992E-B3FD312E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016831"/>
        <c:axId val="379621391"/>
      </c:lineChart>
      <c:catAx>
        <c:axId val="3700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1391"/>
        <c:crosses val="autoZero"/>
        <c:auto val="1"/>
        <c:lblAlgn val="ctr"/>
        <c:lblOffset val="100"/>
        <c:noMultiLvlLbl val="0"/>
      </c:catAx>
      <c:valAx>
        <c:axId val="3796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677741</xdr:colOff>
      <xdr:row>20</xdr:row>
      <xdr:rowOff>24178</xdr:rowOff>
    </xdr:from>
    <xdr:to>
      <xdr:col>7</xdr:col>
      <xdr:colOff>391991</xdr:colOff>
      <xdr:row>34</xdr:row>
      <xdr:rowOff>100378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03771-7F62-4FD5-B47A-D6B78A69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G39" sqref="G39"/>
    </sheetView>
  </sheetViews>
  <sheetFormatPr defaultColWidth="8.85546875" defaultRowHeight="15" x14ac:dyDescent="0.25"/>
  <cols>
    <col min="1" max="1" width="15.28515625" customWidth="1"/>
    <col min="6" max="8" width="12.28515625" bestFit="1" customWidth="1"/>
    <col min="9" max="9" width="13.42578125" bestFit="1" customWidth="1"/>
    <col min="10" max="11" width="12.28515625" bestFit="1" customWidth="1"/>
    <col min="13" max="13" width="12.28515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9" spans="1:13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3" x14ac:dyDescent="0.25">
      <c r="A10" t="s">
        <v>3</v>
      </c>
      <c r="G10" s="3">
        <f>'Tangible Benefits'!G13</f>
        <v>4194</v>
      </c>
      <c r="H10" s="3">
        <f>'Tangible Benefits'!H13</f>
        <v>4194</v>
      </c>
      <c r="I10" s="3">
        <f>'Tangible Benefits'!I13</f>
        <v>4194</v>
      </c>
      <c r="J10" s="3">
        <f>'Tangible Benefits'!J13</f>
        <v>4194</v>
      </c>
      <c r="K10" s="3">
        <f>'Tangible Benefits'!K13</f>
        <v>4194</v>
      </c>
    </row>
    <row r="11" spans="1:13" x14ac:dyDescent="0.25">
      <c r="A11" t="s">
        <v>4</v>
      </c>
      <c r="G11">
        <f>1/((1+0.1)^1)</f>
        <v>0.90909090909090906</v>
      </c>
      <c r="H11">
        <f>1/((1+0.1)^2)</f>
        <v>0.82644628099173545</v>
      </c>
      <c r="I11">
        <f>1/((1+0.1)^3)</f>
        <v>0.75131480090157754</v>
      </c>
      <c r="J11">
        <f>1/((1+0.1)^4)</f>
        <v>0.68301345536507052</v>
      </c>
      <c r="K11">
        <v>0.62092099999999995</v>
      </c>
    </row>
    <row r="12" spans="1:13" x14ac:dyDescent="0.25">
      <c r="A12" t="s">
        <v>5</v>
      </c>
      <c r="G12" s="3">
        <f>G10*G11</f>
        <v>3812.7272727272725</v>
      </c>
      <c r="H12" s="3">
        <f>H10*H11</f>
        <v>3466.1157024793383</v>
      </c>
      <c r="I12" s="3">
        <f>I10*I11</f>
        <v>3151.0142749812162</v>
      </c>
      <c r="J12" s="3">
        <f>J10*J11</f>
        <v>2864.5584318011056</v>
      </c>
      <c r="K12" s="3">
        <f>K10*K11</f>
        <v>2604.1426739999997</v>
      </c>
    </row>
    <row r="14" spans="1:13" x14ac:dyDescent="0.25">
      <c r="A14" t="s">
        <v>6</v>
      </c>
      <c r="G14" s="4">
        <f>G12</f>
        <v>3812.7272727272725</v>
      </c>
      <c r="H14" s="4">
        <f>G12+H12</f>
        <v>7278.8429752066113</v>
      </c>
      <c r="I14" s="4">
        <f>H14+I12</f>
        <v>10429.857250187828</v>
      </c>
      <c r="J14" s="4">
        <f>I14+J12</f>
        <v>13294.415681988934</v>
      </c>
      <c r="K14" s="4">
        <f>J14+K12</f>
        <v>15898.558355988935</v>
      </c>
      <c r="M14" s="4">
        <f>K14</f>
        <v>15898.558355988935</v>
      </c>
    </row>
    <row r="17" spans="1:13" x14ac:dyDescent="0.25">
      <c r="A17" t="s">
        <v>7</v>
      </c>
      <c r="F17" s="5">
        <f>'One Time Costs'!F14</f>
        <v>-6644.98</v>
      </c>
    </row>
    <row r="19" spans="1:13" x14ac:dyDescent="0.25">
      <c r="F19" t="s">
        <v>31</v>
      </c>
      <c r="G19" t="s">
        <v>12</v>
      </c>
      <c r="H19" t="s">
        <v>13</v>
      </c>
      <c r="I19" t="s">
        <v>14</v>
      </c>
      <c r="J19" t="s">
        <v>25</v>
      </c>
      <c r="K19" t="s">
        <v>26</v>
      </c>
    </row>
    <row r="20" spans="1:13" x14ac:dyDescent="0.25">
      <c r="A20" t="s">
        <v>8</v>
      </c>
      <c r="G20" s="5">
        <f>'Recurring Costs'!G13</f>
        <v>-400</v>
      </c>
      <c r="H20" s="5">
        <f>'Recurring Costs'!H13</f>
        <v>-400</v>
      </c>
      <c r="I20" s="5">
        <f>'Recurring Costs'!I13</f>
        <v>-400</v>
      </c>
      <c r="J20" s="5">
        <f>'Recurring Costs'!J13</f>
        <v>-400</v>
      </c>
      <c r="K20" s="5">
        <f>'Recurring Costs'!K13</f>
        <v>-400</v>
      </c>
    </row>
    <row r="21" spans="1:13" x14ac:dyDescent="0.25">
      <c r="A21" t="s">
        <v>4</v>
      </c>
      <c r="G21">
        <f>1/((1+0.1)^1)</f>
        <v>0.90909090909090906</v>
      </c>
      <c r="H21">
        <f>1/((1+0.1)^2)</f>
        <v>0.82644628099173545</v>
      </c>
      <c r="I21">
        <f>1/((1+0.1)^3)</f>
        <v>0.75131480090157754</v>
      </c>
      <c r="J21">
        <f>1/((1+0.1)^4)</f>
        <v>0.68301345536507052</v>
      </c>
      <c r="K21">
        <f>1/((1+0.1)^5)</f>
        <v>0.62092132305915493</v>
      </c>
    </row>
    <row r="22" spans="1:13" x14ac:dyDescent="0.25">
      <c r="A22" t="s">
        <v>9</v>
      </c>
      <c r="G22" s="5">
        <f>G20*G21</f>
        <v>-363.63636363636363</v>
      </c>
      <c r="H22" s="5">
        <f>H20*H21</f>
        <v>-330.57851239669418</v>
      </c>
      <c r="I22" s="5">
        <f>I20*I21</f>
        <v>-300.52592036063101</v>
      </c>
      <c r="J22" s="5">
        <f>J20*J21</f>
        <v>-273.20538214602823</v>
      </c>
      <c r="K22" s="5">
        <f>K20*K21</f>
        <v>-248.36852922366197</v>
      </c>
    </row>
    <row r="24" spans="1:13" x14ac:dyDescent="0.25">
      <c r="A24" t="s">
        <v>10</v>
      </c>
      <c r="G24" s="5">
        <f>F17+G22</f>
        <v>-7008.6163636363635</v>
      </c>
      <c r="H24" s="5">
        <f>G24+H22</f>
        <v>-7339.1948760330579</v>
      </c>
      <c r="I24" s="5">
        <f>H24+I22</f>
        <v>-7639.7207963936889</v>
      </c>
      <c r="J24" s="5">
        <f>I24+J22</f>
        <v>-7912.9261785397175</v>
      </c>
      <c r="K24" s="5">
        <f>J24+K22</f>
        <v>-8161.2947077633798</v>
      </c>
      <c r="M24" s="5">
        <f>K24</f>
        <v>-8161.2947077633798</v>
      </c>
    </row>
    <row r="26" spans="1:13" x14ac:dyDescent="0.25">
      <c r="A26" t="s">
        <v>15</v>
      </c>
      <c r="M26" s="4">
        <f>M14+M24</f>
        <v>7737.2636482255548</v>
      </c>
    </row>
    <row r="29" spans="1:13" x14ac:dyDescent="0.25">
      <c r="A29" t="s">
        <v>16</v>
      </c>
      <c r="M29" s="8">
        <f>ABS(M26/M24)</f>
        <v>0.948043653032837</v>
      </c>
    </row>
    <row r="32" spans="1:13" x14ac:dyDescent="0.25">
      <c r="A32" t="s">
        <v>17</v>
      </c>
      <c r="G32" s="4"/>
      <c r="H32" s="4"/>
      <c r="I32" s="4"/>
      <c r="J32" s="4"/>
      <c r="K32" s="4"/>
    </row>
    <row r="33" spans="1:11" x14ac:dyDescent="0.25">
      <c r="A33" t="s">
        <v>18</v>
      </c>
      <c r="F33" s="5">
        <v>-10200</v>
      </c>
      <c r="G33" s="4">
        <f>G12+G22</f>
        <v>3449.090909090909</v>
      </c>
      <c r="H33" s="4">
        <f>H12+H22</f>
        <v>3135.537190082644</v>
      </c>
      <c r="I33" s="4">
        <f>I12+I22</f>
        <v>2850.4883546205851</v>
      </c>
      <c r="J33" s="4">
        <f>J12+J22</f>
        <v>2591.3530496550775</v>
      </c>
      <c r="K33" s="4">
        <f>K12+K22</f>
        <v>2355.7741447763378</v>
      </c>
    </row>
    <row r="34" spans="1:11" x14ac:dyDescent="0.25">
      <c r="A34" t="s">
        <v>19</v>
      </c>
      <c r="F34" s="5">
        <v>-10200</v>
      </c>
      <c r="G34" s="4">
        <f>F34+G33</f>
        <v>-6750.909090909091</v>
      </c>
      <c r="H34" s="4">
        <f>G34+H33</f>
        <v>-3615.371900826447</v>
      </c>
      <c r="I34" s="4">
        <f>H34+I33</f>
        <v>-764.88354620586188</v>
      </c>
      <c r="J34" s="4">
        <f>I34+J33</f>
        <v>1826.4695034492156</v>
      </c>
      <c r="K34" s="4">
        <f>J34+K33</f>
        <v>4182.2436482255534</v>
      </c>
    </row>
    <row r="36" spans="1:11" x14ac:dyDescent="0.25">
      <c r="A36" s="9"/>
      <c r="B36" s="9"/>
      <c r="C36" s="9"/>
      <c r="D36" s="9"/>
      <c r="E36" s="9"/>
      <c r="F36" s="9"/>
      <c r="G36" s="9"/>
      <c r="H36" s="9"/>
    </row>
    <row r="37" spans="1:11" x14ac:dyDescent="0.25">
      <c r="A37" s="9"/>
      <c r="B37" s="9"/>
      <c r="C37" s="9"/>
      <c r="D37" s="9"/>
      <c r="E37" s="9"/>
      <c r="F37" s="9"/>
      <c r="G37" s="9"/>
      <c r="H37" s="9"/>
    </row>
    <row r="38" spans="1:11" x14ac:dyDescent="0.25">
      <c r="A38" s="9" t="s">
        <v>22</v>
      </c>
      <c r="B38" s="9"/>
      <c r="C38" s="9"/>
      <c r="D38" s="9"/>
      <c r="E38" s="9"/>
      <c r="F38" s="9"/>
      <c r="G38" s="9"/>
      <c r="H38" s="9"/>
    </row>
    <row r="39" spans="1:11" x14ac:dyDescent="0.25">
      <c r="A39" s="9" t="s">
        <v>23</v>
      </c>
      <c r="B39" s="9"/>
      <c r="C39" s="9"/>
      <c r="D39" s="9"/>
      <c r="E39" s="9"/>
      <c r="F39" s="9"/>
      <c r="G39" s="10">
        <f>(H33-H34)/H33</f>
        <v>2.1530311017395891</v>
      </c>
      <c r="H39" s="9"/>
    </row>
    <row r="40" spans="1:11" x14ac:dyDescent="0.25">
      <c r="A40" s="9" t="s">
        <v>24</v>
      </c>
      <c r="B40" s="9"/>
      <c r="C40" s="9"/>
      <c r="D40" s="9"/>
      <c r="E40" s="9"/>
      <c r="F40" s="9"/>
      <c r="G40" s="9">
        <v>2.0044</v>
      </c>
      <c r="H40" s="9"/>
    </row>
    <row r="41" spans="1:11" x14ac:dyDescent="0.25">
      <c r="A41" s="9"/>
      <c r="B41" s="9"/>
      <c r="C41" s="9"/>
      <c r="D41" s="9"/>
      <c r="E41" s="9"/>
      <c r="F41" s="9"/>
      <c r="G41" s="9"/>
      <c r="H41" s="9"/>
    </row>
    <row r="42" spans="1:11" x14ac:dyDescent="0.25">
      <c r="A42" s="9"/>
      <c r="B42" s="9"/>
      <c r="C42" s="9"/>
      <c r="D42" s="9"/>
      <c r="E42" s="9"/>
      <c r="F42" s="9"/>
      <c r="G42" s="9"/>
      <c r="H42" s="9"/>
    </row>
    <row r="43" spans="1:11" x14ac:dyDescent="0.25">
      <c r="A43" s="9"/>
      <c r="B43" s="9"/>
      <c r="C43" s="9"/>
      <c r="D43" s="9"/>
      <c r="E43" s="9"/>
      <c r="F43" s="9"/>
      <c r="G43" s="9"/>
      <c r="H43" s="9"/>
    </row>
  </sheetData>
  <conditionalFormatting sqref="F17 G20:K20 G22:K22 G24:K24 M24 F33:F34">
    <cfRule type="cellIs" dxfId="6" priority="2" operator="lessThan">
      <formula>0</formula>
    </cfRule>
  </conditionalFormatting>
  <conditionalFormatting sqref="G34">
    <cfRule type="cellIs" dxfId="5" priority="1" operator="lessThan">
      <formula>0</formula>
    </cfRule>
  </conditionalFormatting>
  <pageMargins left="0.7" right="0.7" top="0.75" bottom="0.75" header="0.3" footer="0.3"/>
  <ignoredErrors>
    <ignoredError sqref="I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G1" zoomScale="85" zoomScaleNormal="85" workbookViewId="0">
      <selection activeCell="L12" sqref="L12"/>
    </sheetView>
  </sheetViews>
  <sheetFormatPr defaultColWidth="8.85546875" defaultRowHeight="15" x14ac:dyDescent="0.25"/>
  <cols>
    <col min="1" max="1" width="39.42578125" bestFit="1" customWidth="1"/>
    <col min="6" max="6" width="12.42578125" bestFit="1" customWidth="1"/>
    <col min="7" max="10" width="11.42578125" bestFit="1" customWidth="1"/>
    <col min="11" max="11" width="10.5703125" bestFit="1" customWidth="1"/>
    <col min="12" max="12" width="255.5703125" customWidth="1"/>
    <col min="13" max="13" width="58.42578125" bestFit="1" customWidth="1"/>
  </cols>
  <sheetData>
    <row r="1" spans="1:13" x14ac:dyDescent="0.25">
      <c r="A1" t="s">
        <v>20</v>
      </c>
    </row>
    <row r="2" spans="1:13" x14ac:dyDescent="0.25">
      <c r="A2" t="s">
        <v>1</v>
      </c>
    </row>
    <row r="3" spans="1:13" x14ac:dyDescent="0.25">
      <c r="A3" t="s">
        <v>21</v>
      </c>
    </row>
    <row r="9" spans="1:13" x14ac:dyDescent="0.25">
      <c r="A9" t="s">
        <v>29</v>
      </c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3" x14ac:dyDescent="0.25">
      <c r="A10" t="s">
        <v>30</v>
      </c>
      <c r="G10" s="2">
        <f>15 * 1 * 26</f>
        <v>390</v>
      </c>
      <c r="H10" s="2">
        <f t="shared" ref="H10:K10" si="0">15 * 1 * 26</f>
        <v>390</v>
      </c>
      <c r="I10" s="2">
        <f t="shared" si="0"/>
        <v>390</v>
      </c>
      <c r="J10" s="2">
        <f t="shared" si="0"/>
        <v>390</v>
      </c>
      <c r="K10" s="2">
        <f t="shared" si="0"/>
        <v>390</v>
      </c>
      <c r="L10" t="s">
        <v>54</v>
      </c>
    </row>
    <row r="11" spans="1:13" x14ac:dyDescent="0.25">
      <c r="A11" t="s">
        <v>56</v>
      </c>
      <c r="G11" s="2">
        <f xml:space="preserve"> 6 * 12 * 40</f>
        <v>2880</v>
      </c>
      <c r="H11" s="2">
        <f t="shared" ref="H11:J11" si="1" xml:space="preserve"> 6 * 12 * 40</f>
        <v>2880</v>
      </c>
      <c r="I11" s="2">
        <f t="shared" si="1"/>
        <v>2880</v>
      </c>
      <c r="J11" s="2">
        <f t="shared" si="1"/>
        <v>2880</v>
      </c>
      <c r="K11" s="2">
        <f xml:space="preserve"> 6 * 12 * 40</f>
        <v>2880</v>
      </c>
      <c r="L11" t="s">
        <v>63</v>
      </c>
      <c r="M11" t="s">
        <v>62</v>
      </c>
    </row>
    <row r="12" spans="1:13" x14ac:dyDescent="0.25">
      <c r="A12" t="s">
        <v>53</v>
      </c>
      <c r="G12" s="2">
        <f xml:space="preserve"> (1 * 12 * 25) + (1 * 12 * 52)</f>
        <v>924</v>
      </c>
      <c r="H12" s="2">
        <f t="shared" ref="H12:K12" si="2" xml:space="preserve"> (1 * 12 * 25) + (1 * 12 * 52)</f>
        <v>924</v>
      </c>
      <c r="I12" s="2">
        <f t="shared" si="2"/>
        <v>924</v>
      </c>
      <c r="J12" s="2">
        <f t="shared" si="2"/>
        <v>924</v>
      </c>
      <c r="K12" s="2">
        <f t="shared" si="2"/>
        <v>924</v>
      </c>
      <c r="L12" t="s">
        <v>55</v>
      </c>
    </row>
    <row r="13" spans="1:13" x14ac:dyDescent="0.25">
      <c r="F13" s="1" t="s">
        <v>28</v>
      </c>
      <c r="G13" s="2">
        <f xml:space="preserve"> SUM(G10:G12)</f>
        <v>4194</v>
      </c>
      <c r="H13" s="2">
        <f xml:space="preserve"> H10 + H11 + H12</f>
        <v>4194</v>
      </c>
      <c r="I13" s="2">
        <f xml:space="preserve"> I10 + I11 + I12</f>
        <v>4194</v>
      </c>
      <c r="J13" s="2">
        <f xml:space="preserve"> J10 + J11 + J12</f>
        <v>4194</v>
      </c>
      <c r="K13" s="2">
        <f xml:space="preserve"> K10 + K11 + K12</f>
        <v>4194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13" sqref="G13"/>
    </sheetView>
  </sheetViews>
  <sheetFormatPr defaultColWidth="8.85546875" defaultRowHeight="15" x14ac:dyDescent="0.25"/>
  <cols>
    <col min="6" max="6" width="12.28515625" bestFit="1" customWidth="1"/>
    <col min="7" max="11" width="11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44</v>
      </c>
    </row>
    <row r="9" spans="1:11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1" x14ac:dyDescent="0.25">
      <c r="A10" t="s">
        <v>45</v>
      </c>
      <c r="F10" s="6">
        <f>'One Time Costs'!F14</f>
        <v>-6644.98</v>
      </c>
      <c r="G10" s="7"/>
      <c r="H10" s="7"/>
      <c r="I10" s="7"/>
      <c r="J10" s="7"/>
      <c r="K10" s="7"/>
    </row>
    <row r="11" spans="1:11" x14ac:dyDescent="0.25">
      <c r="A11" t="s">
        <v>46</v>
      </c>
      <c r="F11" s="7"/>
      <c r="G11" s="6">
        <f>'Recurring Costs'!G13</f>
        <v>-400</v>
      </c>
      <c r="H11" s="6">
        <f>'Recurring Costs'!H13</f>
        <v>-400</v>
      </c>
      <c r="I11" s="6">
        <f>'Recurring Costs'!I13</f>
        <v>-400</v>
      </c>
      <c r="J11" s="6">
        <f>'Recurring Costs'!J13</f>
        <v>-400</v>
      </c>
      <c r="K11" s="6">
        <f>'Recurring Costs'!K13</f>
        <v>-400</v>
      </c>
    </row>
    <row r="12" spans="1:11" x14ac:dyDescent="0.25">
      <c r="A12" t="s">
        <v>47</v>
      </c>
      <c r="E12" t="s">
        <v>34</v>
      </c>
      <c r="F12" s="6">
        <f>F10</f>
        <v>-6644.98</v>
      </c>
      <c r="G12" s="6">
        <f>G11</f>
        <v>-400</v>
      </c>
      <c r="H12" s="6">
        <f>H11</f>
        <v>-400</v>
      </c>
      <c r="I12" s="6">
        <f>I11</f>
        <v>-400</v>
      </c>
      <c r="J12" s="6">
        <f>J11</f>
        <v>-400</v>
      </c>
      <c r="K12" s="6">
        <f>K11</f>
        <v>-400</v>
      </c>
    </row>
  </sheetData>
  <conditionalFormatting sqref="F10:K12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12" sqref="L12"/>
    </sheetView>
  </sheetViews>
  <sheetFormatPr defaultColWidth="8.85546875" defaultRowHeight="15" x14ac:dyDescent="0.25"/>
  <cols>
    <col min="1" max="1" width="39" bestFit="1" customWidth="1"/>
    <col min="6" max="11" width="12.28515625" bestFit="1" customWidth="1"/>
    <col min="12" max="12" width="60" bestFit="1" customWidth="1"/>
  </cols>
  <sheetData>
    <row r="1" spans="1:12" x14ac:dyDescent="0.25">
      <c r="A1" t="s">
        <v>0</v>
      </c>
    </row>
    <row r="2" spans="1:12" x14ac:dyDescent="0.25">
      <c r="A2" t="s">
        <v>32</v>
      </c>
    </row>
    <row r="3" spans="1:12" x14ac:dyDescent="0.25">
      <c r="A3" t="s">
        <v>33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35</v>
      </c>
      <c r="F10" s="3">
        <f>-200</f>
        <v>-200</v>
      </c>
      <c r="G10" s="3">
        <f t="shared" ref="G10:K10" si="0">-200</f>
        <v>-200</v>
      </c>
      <c r="H10" s="3">
        <f t="shared" si="0"/>
        <v>-200</v>
      </c>
      <c r="I10" s="3">
        <f t="shared" si="0"/>
        <v>-200</v>
      </c>
      <c r="J10" s="3">
        <f t="shared" si="0"/>
        <v>-200</v>
      </c>
      <c r="K10" s="3">
        <f t="shared" si="0"/>
        <v>-200</v>
      </c>
      <c r="L10" t="s">
        <v>38</v>
      </c>
    </row>
    <row r="11" spans="1:12" x14ac:dyDescent="0.25">
      <c r="A11" t="s">
        <v>36</v>
      </c>
      <c r="F11" s="3">
        <f>- (20 * 1 * 144)</f>
        <v>-2880</v>
      </c>
      <c r="G11" s="3">
        <f t="shared" ref="G11:K11" si="1">- (20 * 1 * 144)</f>
        <v>-2880</v>
      </c>
      <c r="H11" s="3">
        <f t="shared" si="1"/>
        <v>-2880</v>
      </c>
      <c r="I11" s="3">
        <f t="shared" si="1"/>
        <v>-2880</v>
      </c>
      <c r="J11" s="3">
        <f t="shared" si="1"/>
        <v>-2880</v>
      </c>
      <c r="K11" s="3">
        <f t="shared" si="1"/>
        <v>-2880</v>
      </c>
      <c r="L11" t="s">
        <v>51</v>
      </c>
    </row>
    <row r="12" spans="1:12" x14ac:dyDescent="0.25">
      <c r="A12" t="s">
        <v>37</v>
      </c>
      <c r="F12" s="3">
        <f>- (20*1*144)</f>
        <v>-2880</v>
      </c>
      <c r="G12" s="3">
        <f t="shared" ref="G12:K12" si="2">- (20*1*144)</f>
        <v>-2880</v>
      </c>
      <c r="H12" s="3">
        <f t="shared" si="2"/>
        <v>-2880</v>
      </c>
      <c r="I12" s="3">
        <f t="shared" si="2"/>
        <v>-2880</v>
      </c>
      <c r="J12" s="3">
        <f t="shared" si="2"/>
        <v>-2880</v>
      </c>
      <c r="K12" s="3">
        <f t="shared" si="2"/>
        <v>-2880</v>
      </c>
      <c r="L12" t="s">
        <v>52</v>
      </c>
    </row>
    <row r="13" spans="1:12" x14ac:dyDescent="0.25">
      <c r="A13" t="s">
        <v>49</v>
      </c>
      <c r="F13" s="3">
        <v>-684.98</v>
      </c>
      <c r="G13" s="3">
        <v>-684.98</v>
      </c>
      <c r="H13" s="3">
        <v>-684.98</v>
      </c>
      <c r="I13" s="3">
        <v>-684.98</v>
      </c>
      <c r="J13" s="3">
        <v>-684.98</v>
      </c>
      <c r="K13" s="3">
        <v>-684.98</v>
      </c>
      <c r="L13" t="s">
        <v>50</v>
      </c>
    </row>
    <row r="14" spans="1:12" x14ac:dyDescent="0.25">
      <c r="E14" t="s">
        <v>34</v>
      </c>
      <c r="F14" s="3">
        <f>F10+F11+F12+F13</f>
        <v>-6644.98</v>
      </c>
      <c r="G14" s="3">
        <f>G10 + G11 + G12 + G13</f>
        <v>-6644.98</v>
      </c>
      <c r="H14" s="3">
        <f>H10 + H11 + H12 + H13</f>
        <v>-6644.98</v>
      </c>
      <c r="I14" s="3">
        <f>I10 + I11 + I12 +I13</f>
        <v>-6644.98</v>
      </c>
      <c r="J14" s="3">
        <f>J10 + J11 + J12 + J13</f>
        <v>-6644.98</v>
      </c>
      <c r="K14" s="3">
        <f>K10 + K11 + K12 + K13</f>
        <v>-6644.98</v>
      </c>
    </row>
  </sheetData>
  <conditionalFormatting sqref="F10:K14">
    <cfRule type="cellIs" dxfId="3" priority="1" operator="less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M8" sqref="M8"/>
    </sheetView>
  </sheetViews>
  <sheetFormatPr defaultColWidth="8.85546875" defaultRowHeight="15" x14ac:dyDescent="0.25"/>
  <cols>
    <col min="1" max="1" width="27.7109375" bestFit="1" customWidth="1"/>
    <col min="7" max="11" width="11.28515625" bestFit="1" customWidth="1"/>
  </cols>
  <sheetData>
    <row r="1" spans="1:12" x14ac:dyDescent="0.25">
      <c r="A1" t="s">
        <v>0</v>
      </c>
    </row>
    <row r="2" spans="1:12" x14ac:dyDescent="0.25">
      <c r="A2" t="s">
        <v>39</v>
      </c>
    </row>
    <row r="3" spans="1:12" x14ac:dyDescent="0.25">
      <c r="A3" t="s">
        <v>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40</v>
      </c>
      <c r="F10" s="3"/>
      <c r="G10" s="3">
        <f>-(20*1*5)</f>
        <v>-100</v>
      </c>
      <c r="H10" s="3">
        <f t="shared" ref="H10:K10" si="0">-(20*1*5)</f>
        <v>-100</v>
      </c>
      <c r="I10" s="3">
        <f t="shared" si="0"/>
        <v>-100</v>
      </c>
      <c r="J10" s="3">
        <f t="shared" si="0"/>
        <v>-100</v>
      </c>
      <c r="K10" s="3">
        <f t="shared" si="0"/>
        <v>-100</v>
      </c>
      <c r="L10" t="s">
        <v>59</v>
      </c>
    </row>
    <row r="11" spans="1:12" x14ac:dyDescent="0.25">
      <c r="A11" t="s">
        <v>41</v>
      </c>
      <c r="F11" s="3"/>
      <c r="G11" s="3">
        <f>-200</f>
        <v>-200</v>
      </c>
      <c r="H11" s="3">
        <f t="shared" ref="H11:K11" si="1">-200</f>
        <v>-200</v>
      </c>
      <c r="I11" s="3">
        <f t="shared" si="1"/>
        <v>-200</v>
      </c>
      <c r="J11" s="3">
        <f t="shared" si="1"/>
        <v>-200</v>
      </c>
      <c r="K11" s="3">
        <f t="shared" si="1"/>
        <v>-200</v>
      </c>
      <c r="L11" t="s">
        <v>43</v>
      </c>
    </row>
    <row r="12" spans="1:12" x14ac:dyDescent="0.25">
      <c r="A12" t="s">
        <v>42</v>
      </c>
      <c r="F12" s="3"/>
      <c r="G12" s="3">
        <f>-(20*1*5)</f>
        <v>-100</v>
      </c>
      <c r="H12" s="3">
        <f t="shared" ref="H12:K12" si="2">-(20*1*5)</f>
        <v>-100</v>
      </c>
      <c r="I12" s="3">
        <f t="shared" si="2"/>
        <v>-100</v>
      </c>
      <c r="J12" s="3">
        <f t="shared" si="2"/>
        <v>-100</v>
      </c>
      <c r="K12" s="3">
        <f t="shared" si="2"/>
        <v>-100</v>
      </c>
      <c r="L12" t="s">
        <v>60</v>
      </c>
    </row>
    <row r="13" spans="1:12" x14ac:dyDescent="0.25">
      <c r="E13" t="s">
        <v>34</v>
      </c>
      <c r="F13" s="3"/>
      <c r="G13" s="3">
        <f>G10+G11+G12</f>
        <v>-400</v>
      </c>
      <c r="H13" s="3">
        <f t="shared" ref="H13:K13" si="3">H10+H11+H12</f>
        <v>-400</v>
      </c>
      <c r="I13" s="3">
        <f t="shared" si="3"/>
        <v>-400</v>
      </c>
      <c r="J13" s="3">
        <f t="shared" si="3"/>
        <v>-400</v>
      </c>
      <c r="K13" s="3">
        <f t="shared" si="3"/>
        <v>-400</v>
      </c>
    </row>
  </sheetData>
  <conditionalFormatting sqref="G10:K13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7" zoomScale="130" zoomScaleNormal="130" workbookViewId="0">
      <selection activeCell="B31" sqref="B31"/>
    </sheetView>
  </sheetViews>
  <sheetFormatPr defaultColWidth="8.85546875" defaultRowHeight="15" x14ac:dyDescent="0.25"/>
  <cols>
    <col min="1" max="1" width="27.28515625" bestFit="1" customWidth="1"/>
    <col min="2" max="2" width="11.28515625" bestFit="1" customWidth="1"/>
    <col min="3" max="8" width="12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48</v>
      </c>
    </row>
    <row r="39" spans="1:9" x14ac:dyDescent="0.25">
      <c r="A39" t="s">
        <v>57</v>
      </c>
    </row>
    <row r="40" spans="1:9" x14ac:dyDescent="0.25">
      <c r="B40" s="4" t="s">
        <v>11</v>
      </c>
      <c r="C40" s="4" t="s">
        <v>12</v>
      </c>
      <c r="D40" s="4" t="s">
        <v>13</v>
      </c>
      <c r="E40" s="4" t="s">
        <v>14</v>
      </c>
      <c r="F40" s="4" t="s">
        <v>25</v>
      </c>
      <c r="G40" s="4" t="s">
        <v>26</v>
      </c>
      <c r="I40" s="4"/>
    </row>
    <row r="41" spans="1:9" x14ac:dyDescent="0.25">
      <c r="A41" t="s">
        <v>58</v>
      </c>
      <c r="B41" s="4">
        <v>6644.98</v>
      </c>
      <c r="C41" s="4">
        <f>B41+400</f>
        <v>7044.98</v>
      </c>
      <c r="D41" s="4">
        <f>C41+400</f>
        <v>7444.98</v>
      </c>
      <c r="E41" s="4">
        <f t="shared" ref="E41:G41" si="0">D41+400</f>
        <v>7844.98</v>
      </c>
      <c r="F41" s="4">
        <f t="shared" si="0"/>
        <v>8244.98</v>
      </c>
      <c r="G41" s="4">
        <f t="shared" si="0"/>
        <v>8644.98</v>
      </c>
      <c r="I41" s="4"/>
    </row>
    <row r="42" spans="1:9" x14ac:dyDescent="0.25">
      <c r="A42" t="s">
        <v>61</v>
      </c>
      <c r="B42" s="4">
        <v>0</v>
      </c>
      <c r="C42" s="4">
        <f>'Tangible Benefits'!G13</f>
        <v>4194</v>
      </c>
      <c r="D42" s="4">
        <f>C42+4194</f>
        <v>8388</v>
      </c>
      <c r="E42" s="4">
        <f t="shared" ref="E42:G42" si="1">D42+4194</f>
        <v>12582</v>
      </c>
      <c r="F42" s="4">
        <f t="shared" si="1"/>
        <v>16776</v>
      </c>
      <c r="G42" s="4">
        <f t="shared" si="1"/>
        <v>20970</v>
      </c>
      <c r="I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Tangible Benefits</vt:lpstr>
      <vt:lpstr>Tangible Costs</vt:lpstr>
      <vt:lpstr>One Time Costs</vt:lpstr>
      <vt:lpstr>Recurring Costs</vt:lpstr>
      <vt:lpstr>Breakeven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Thomas Jorgensen</cp:lastModifiedBy>
  <dcterms:created xsi:type="dcterms:W3CDTF">2017-09-25T18:34:37Z</dcterms:created>
  <dcterms:modified xsi:type="dcterms:W3CDTF">2018-04-30T20:18:37Z</dcterms:modified>
</cp:coreProperties>
</file>