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<sst xmlns="http://schemas.openxmlformats.org/spreadsheetml/2006/main" count="12980" uniqueCount="3606">
  <si>
    <t>Reference Number</t>
  </si>
  <si>
    <t>Procuring Entity</t>
  </si>
  <si>
    <t>Title</t>
  </si>
  <si>
    <t>Area of Delivery</t>
  </si>
  <si>
    <t>Solicitation Number</t>
  </si>
  <si>
    <t>Trade Agreement</t>
  </si>
  <si>
    <t>Procurement Mode</t>
  </si>
  <si>
    <t>Classification</t>
  </si>
  <si>
    <t>Category</t>
  </si>
  <si>
    <t>Approved Budget for the Contract</t>
  </si>
  <si>
    <t>Contract Duration</t>
  </si>
  <si>
    <t>Client Agency</t>
  </si>
  <si>
    <t>Contact Person</t>
  </si>
  <si>
    <t>Status</t>
  </si>
  <si>
    <t>Associated Components</t>
  </si>
  <si>
    <t>Bid Supplements</t>
  </si>
  <si>
    <t>Document Request List</t>
  </si>
  <si>
    <t>Date Published</t>
  </si>
  <si>
    <t>Last Updated / Time</t>
  </si>
  <si>
    <t>Closing Date / Time</t>
  </si>
  <si>
    <t>Description</t>
  </si>
  <si>
    <t>Other Information</t>
  </si>
  <si>
    <t>Created by</t>
  </si>
  <si>
    <t>Date Created</t>
  </si>
  <si>
    <t>BARANGAY BAKIR, BAGABAG, NUEVA VIZCAYA</t>
  </si>
  <si>
    <t>BARANGAY AMAMBUCALE - MARABUT SAMAR</t>
  </si>
  <si>
    <t>BARANGAY POBLACION - BANATE ILOILO</t>
  </si>
  <si>
    <t>MUNICIPALITY OF CUYAPO, NUEVA ECIJA</t>
  </si>
  <si>
    <t>BARANGAY MANGA - TAGBILARAN CITY</t>
  </si>
  <si>
    <t>DEPARTMENT OF PUBLIC WORKS AND HIGHWAYS - COTABATO SUB-DEO</t>
  </si>
  <si>
    <t>BARANGAY BINUGAO TORIL DISTRICT</t>
  </si>
  <si>
    <t>MUNICIPALITY OF PITOGO, ZAMBOANGA DEL SUR</t>
  </si>
  <si>
    <t>BARANGAY 09 POBLACION, CATBALOGAN CITY</t>
  </si>
  <si>
    <t>BARANGAY 04 POBLACION, CATBALOGAN CITY</t>
  </si>
  <si>
    <t>NATIVIDAD HIGH SCHOOL</t>
  </si>
  <si>
    <t>BARANGAY TAGUIPORO - BANTAY ILOCOS SUR</t>
  </si>
  <si>
    <t>PHILIPPINE PORTS AUTHORITY - REGION I</t>
  </si>
  <si>
    <t>BARANGAY 08 POBLACION, CATBALOGAN CITY, SAMAR</t>
  </si>
  <si>
    <t>MUNICIPALITY OF ARAKAN, COTABATO</t>
  </si>
  <si>
    <t>PROVINCE OF QUEZON</t>
  </si>
  <si>
    <t>BAYUGAN WATER DISTRICT</t>
  </si>
  <si>
    <t>MUNICIPALITY OF MANJUYOD, NEGROS ORIENTAL</t>
  </si>
  <si>
    <t>WESTERN MINDANAO STATE UNIVERSITY</t>
  </si>
  <si>
    <t>CITY OF CAGAYAN DE ORO, MISAMIS ORIENTAL</t>
  </si>
  <si>
    <t>MUNICIPALITY OF TAGOLOAN, MISAMIS ORIENTAL</t>
  </si>
  <si>
    <t>MUNICIPALITY OF MANOLO FORTICH, BUKIDNON</t>
  </si>
  <si>
    <t>DEPARTMENT OF EDUCATION - DIVISION OF COTABATO</t>
  </si>
  <si>
    <t>UNIVERSITY OF THE PHILIPPINES - DILIMAN</t>
  </si>
  <si>
    <t>NATIONAL IRRIGATION ADMINISTRATION REGION 7</t>
  </si>
  <si>
    <t>AKLAN STATE UNIVERSITY - KALIBO CAMPUS</t>
  </si>
  <si>
    <t>PROVINCE OF GUIMARAS</t>
  </si>
  <si>
    <t>MUNICIPALITY OF MAGSAYSAY, OCCIDENTAL MINDORO</t>
  </si>
  <si>
    <t>DEPARTMENT OF EDUCATION - SCHOOLS DIVISION OF SORSOGON PROVI</t>
  </si>
  <si>
    <t>MUNICIPALITY OF GENERAL NAKAR, QUEZON</t>
  </si>
  <si>
    <t>MUNICIPALITY OF PANGANTUCAN, BUKIDNON</t>
  </si>
  <si>
    <t>SAN NICOLAS CENTRAL ELEMENTARY SCHOOL - DON CARLOS BUKIDNON</t>
  </si>
  <si>
    <t>NATIONAL IRRIGATION ADMINISTRATION - SOUTH COTABATO</t>
  </si>
  <si>
    <t>BARANGAY PITOGO, MAKATI CITY</t>
  </si>
  <si>
    <t>CITY OF VIGAN, ILOCOS SUR</t>
  </si>
  <si>
    <t>DUALE ELEMENTARY SCHOOL - LIMAY BATAAN</t>
  </si>
  <si>
    <t>CITY OF ANGELES, PAMPANGA</t>
  </si>
  <si>
    <t>DEPARTMENT OF PUBLIC WORKS AND HIGHWAYS - REGION XI</t>
  </si>
  <si>
    <t>BARANGAY LOWER BICUTAN, TAGUIG CITY</t>
  </si>
  <si>
    <t>MUNICIPALITY OF DINAGAT, DINAGAT ISLANDS</t>
  </si>
  <si>
    <t>MUNICIPALITY OF AMADEO, CAVITE</t>
  </si>
  <si>
    <t>DEPARTMENT OF PUBLIC WORKS AND HIGHWAYS - BULACAN 1ST DEO</t>
  </si>
  <si>
    <t>MINDANAO STATE UNIVERSITY - TAWI-TAWI</t>
  </si>
  <si>
    <t>CITY OF TACLOBAN, LEYTE</t>
  </si>
  <si>
    <t>BUREAU OF FISHERIES AND AQUATIC RESOURCES - REGION VIII</t>
  </si>
  <si>
    <t>TESDA-IX, PROVINCIAL TRAINING CENTER - SINDANGAN</t>
  </si>
  <si>
    <t>DEPARTMENT OF PUBLIC WORKS AND HIGHWAYS - NEG. OCC. 3RD DEO</t>
  </si>
  <si>
    <t>CITY OF ILOILO</t>
  </si>
  <si>
    <t>PHILIPPINE FIBER INDUSTRY DEVELOPMENT AUTHORITY - CARAGA</t>
  </si>
  <si>
    <t>DEPARTMENT OF PUBLIC WORKS AND HIGHWAYS - PALAWAN 1ST DEO</t>
  </si>
  <si>
    <t>METRO ROXAS WATER DISTRICT</t>
  </si>
  <si>
    <t>BARANGAY POBLACION NORTE - SIGMA CAPIZ</t>
  </si>
  <si>
    <t>DEPARTMENT OF EDUCATION - DIVISION OF ORIENTAL MINDORO</t>
  </si>
  <si>
    <t>MUNICIPALITY OF DIMASALANG, MASBATE</t>
  </si>
  <si>
    <t>NATIONAL HOUSING AUTHORITY - REGION XI</t>
  </si>
  <si>
    <t>METRO MANILA DEVELOPMENT AUTHORITY</t>
  </si>
  <si>
    <t>MUNICIPALITY OF DIMATALING, ZAMBOANGA DEL SUR</t>
  </si>
  <si>
    <t>SOUTHERN LUZON STATE UNIVERSITY</t>
  </si>
  <si>
    <t>WEST VISAYAS STATE UNIVERSITY MEDICAL CENTER - REGION VI</t>
  </si>
  <si>
    <t>CAVITE NATIONAL HIGH SCHOOL</t>
  </si>
  <si>
    <t>MUNICIPALITY OF ROXAS, ISABELA</t>
  </si>
  <si>
    <t>MUNICIPALITY OF SAN JOSE, BATANGAS</t>
  </si>
  <si>
    <t>MUNICIPALITY OF ORION, BATAAN</t>
  </si>
  <si>
    <t>DEPARTMENT OF TRADE AND INDUSTRY - RIZAL PROVINCIAL OFFICE</t>
  </si>
  <si>
    <t>MUNICIPALITY OF ALBUERA, LEYTE</t>
  </si>
  <si>
    <t>PROVINCE OF MOUNTAIN PROVINCE</t>
  </si>
  <si>
    <t>MUNICIPALITY OF SAN NICOLAS, BATANGAS</t>
  </si>
  <si>
    <t>CITY OF MANILA</t>
  </si>
  <si>
    <t>PROVINCE OF EASTERN SAMAR</t>
  </si>
  <si>
    <t>PROVINCE OF AGUSAN DEL SUR</t>
  </si>
  <si>
    <t>BARANGAY TEJEROS CONVENTION ROSARIO CAVITE</t>
  </si>
  <si>
    <t>BARANGAY 606 ZONE 60 DISTRICT VI, MANILA</t>
  </si>
  <si>
    <t>BARANGAY DEMAPACO - LIBUNGAN COTABATO</t>
  </si>
  <si>
    <t>PHILIPPINE NAVY PROCUREMENT CENTER, AFP PROCUREMENT SERVICE</t>
  </si>
  <si>
    <t>BARANGAY 177 ZONE-16  DISTRICT 11, MANILA</t>
  </si>
  <si>
    <t>BARANGAY 365, ZONE 37, DISTRICT III, MANILA</t>
  </si>
  <si>
    <t>PAG-IBIG FUND - DAVAO HUB (TECHNICAL AND ADMIN SUPPORT)</t>
  </si>
  <si>
    <t>BARANGAY 389 ZONE 40 DISTRICT III</t>
  </si>
  <si>
    <t>BARANGAY 256 ZONE 23 DISTRICT II MANILA</t>
  </si>
  <si>
    <t>MUNICIPALITY OF NAIC, CAVITE</t>
  </si>
  <si>
    <t>MUNICIPALITY OF SARIAYA, QUEZON</t>
  </si>
  <si>
    <t>CITY OF DIPOLOG, ZAMBOANGA DEL NORTE</t>
  </si>
  <si>
    <t>BARANGAY PALMA GIL, TALAINGOD, DAVAO DEL NORTE</t>
  </si>
  <si>
    <t>METRO MIDSAYAP WATER DISTRICT</t>
  </si>
  <si>
    <t>PALOMPON INSTITUTE OF TECHNOLOGY</t>
  </si>
  <si>
    <t>DEVELOPMENT BANK OF THE PHILIPPINES - HEAD OFFICE</t>
  </si>
  <si>
    <t>PNOC EXPLORATION CORPORATION - TAGUIG CITY</t>
  </si>
  <si>
    <t>CITY GOVERNMENT OF BALANGA, BATAAN</t>
  </si>
  <si>
    <t>CAPIZ PROVINCIAL GOVERNMENT</t>
  </si>
  <si>
    <t>DEPARTMENT OF PUBLIC WORKS AND HIGHWAYS - LEYTE 3RD DEO</t>
  </si>
  <si>
    <t>DEPARTMENT OF ENVIRONMENT AND NATURAL RES. - PENRO DAVAO OCC</t>
  </si>
  <si>
    <t xml:space="preserve">DEPARTMENT OF PUBLIC WORKS AND HIGHWAYS - CAMARINES SUR 3RD </t>
  </si>
  <si>
    <t>BUREAU OF JAIL MANAGEMENT AND PENOLOGY - REGION 1</t>
  </si>
  <si>
    <t>CITY OF VICTORIAS, NEGROS OCCIDENTAL</t>
  </si>
  <si>
    <t>DEPARTMENT OF PUBLIC WORKS AND HIGHWAYS - BATAAN 1ST DEO</t>
  </si>
  <si>
    <t>ENVIRONMENTAL MANAGEMENT BUREAU - REGION III</t>
  </si>
  <si>
    <t>PROVINCE OF ANTIQUE</t>
  </si>
  <si>
    <t>BARANGAY SIHI, BUENAVISTA, MARINDUQUE</t>
  </si>
  <si>
    <t>PHILIPPINE NATIONAL POLICE - INTELLIGENCE GROUP</t>
  </si>
  <si>
    <t>MUNICIPALITY OF BUUG - ZAMBOANGA SIBUGAY</t>
  </si>
  <si>
    <t>M.V. GAMBOA ELEMENTARY SCHOOL- CADIZ CITY</t>
  </si>
  <si>
    <t>MUNICIPALITY OF MARAGUSAN COMPOSTELA VALLEY</t>
  </si>
  <si>
    <t>MUNICIPALITY OF NAUJAN, ORIENTAL MINDORO</t>
  </si>
  <si>
    <t>BARANGAY ILVITA, SABLAYAN, OCCIDENTAL MINDORO</t>
  </si>
  <si>
    <t>SUMALIG ELEMENTARY SCHOOL</t>
  </si>
  <si>
    <t>MUNICIPALITY OF CAGWAIT, SURIGAO DEL SUR</t>
  </si>
  <si>
    <t>DEPARTMENT OF AGRICULTURE - REGION IV-A</t>
  </si>
  <si>
    <t>CITY OF DAVAO, DAVAO DEL SUR</t>
  </si>
  <si>
    <t>MUNICIPALITY OF CALINOG, ILOILO</t>
  </si>
  <si>
    <t>PROVINCE OF ABRA</t>
  </si>
  <si>
    <t>BARANGAY CHITONGCO, MONDRAGON, NORTHERN SAMAR</t>
  </si>
  <si>
    <t>BARANGAY ASAN SUR, SISON, PANGASINAN</t>
  </si>
  <si>
    <t>BARANGAY PISAAN - SAN FRANCISCO AGUSAN DEL SUR</t>
  </si>
  <si>
    <t>MALAWAG NATIONAL HIGH SCHOOL - NABUA CAMARINES SUR</t>
  </si>
  <si>
    <t>BARANGAY TULAY NA LUPA, LABO, CAMARINES NORTE</t>
  </si>
  <si>
    <t>BARANGAY PINYA, LABO, CAMARINES NORTE</t>
  </si>
  <si>
    <t>BARANGAY DELA PAZ, LOPEZ, QUEZON</t>
  </si>
  <si>
    <t>BARANGAY BANABA EAST, BATANGAS CITY, BATANGAS</t>
  </si>
  <si>
    <t>TECHNICAL EDUCATION &amp; SKILLS DEVELOPMENT AUTHORITY - NCR</t>
  </si>
  <si>
    <t>BICOL MEDICAL CENTER</t>
  </si>
  <si>
    <t>MUNICIPALITY OF LILA,  BOHOL</t>
  </si>
  <si>
    <t>406TH CONTRACTING OFFICE, AFP PROCUREMENT SERVICE</t>
  </si>
  <si>
    <t>PROVINCE OF NORTHERN SAMAR</t>
  </si>
  <si>
    <t>CITY OF TOLEDO, CEBU</t>
  </si>
  <si>
    <t>NILO NATIONAL HIGH SCHOOL</t>
  </si>
  <si>
    <t>BAGUIO CITY NATIONAL HIGH SCHOOL</t>
  </si>
  <si>
    <t>BARANGAY NABULO - CATUBIG NORTHERN SAMAR</t>
  </si>
  <si>
    <t>BARANGAY MASALISI, LEMERY, BATANGAS</t>
  </si>
  <si>
    <t>MUNICIPALITY OF SISON, PANGASINAN</t>
  </si>
  <si>
    <t>MUNICIPALITY OF HERNANI, EASTERN SAMAR</t>
  </si>
  <si>
    <t>MUNICIPALITY OF TINGLOY, BATANGAS</t>
  </si>
  <si>
    <t>DEPARTMENT OF PUBLIC WORKS AND HIGHWAYS - BUTUAN CITY DEO</t>
  </si>
  <si>
    <t>GOVERNOR CELESTINO GALLARES MEMORIAL HOSPITAL</t>
  </si>
  <si>
    <t>AKLAN STATE UNIVERSITY - BANGA CAMPUS</t>
  </si>
  <si>
    <t>DEPARTMENT OF SOCIAL WELFARE AND DEVELOPMENT - MAIN</t>
  </si>
  <si>
    <t>DEPARTMENT OF  EDUCATION - DIVISION OF SAN JOSE DEL MONTE CI</t>
  </si>
  <si>
    <t>MUNICIPALITY OF MAGALLANES, AGUSAN DEL NORTE</t>
  </si>
  <si>
    <t>DEPARTMENT OF AGRICULTURE - REGION V</t>
  </si>
  <si>
    <t>BUREAU OF FISHERIES AND AQUATIC RESOURCES - RV</t>
  </si>
  <si>
    <t>CANDELARIA WATER DISTRICT</t>
  </si>
  <si>
    <t>PHILIPPINE HEART CENTER</t>
  </si>
  <si>
    <t>PHILIPPINE INFORMATION AGENCY</t>
  </si>
  <si>
    <t>PROVINCE OF ZAMBOANGA DEL NORTE</t>
  </si>
  <si>
    <t>DEPARTMENT OF EDUCATION - DIVISION OF NUEVA VIZCAYA</t>
  </si>
  <si>
    <t>MUNICIPALITY OF BANAYBANAY, DAVAO ORIENTAL</t>
  </si>
  <si>
    <t>MUNICIPALITY OF MAHINOG, CAMIGUIN</t>
  </si>
  <si>
    <t>MUNICIPALITY OF GUTALAC, ZAMBOANGA DEL NORTE</t>
  </si>
  <si>
    <t>DEPARTMENT OF PUBLIC WORKS AND HIGHWAYS - PAMPANGA 2ND DEO</t>
  </si>
  <si>
    <t>BARANGAY CABUGAO, RAGAY, CAAMRINES SUR</t>
  </si>
  <si>
    <t>MUNICIPALITY OF CALATRAVA, ROMBLON</t>
  </si>
  <si>
    <t>DEPARTMENT OF TRADE AND INDUSTRY - REGION XI</t>
  </si>
  <si>
    <t>MUNICIPALITY OF LAMBUNAO, ILOILO</t>
  </si>
  <si>
    <t>MUNICIPALITY OF GEN. MAMERTO NATIVIDAD, NUEVA ECIJA</t>
  </si>
  <si>
    <t>BARANGAY COGON - KAPUTIAN</t>
  </si>
  <si>
    <t>MUNICIPALITY OF GUINAYANGAN, QUEZON</t>
  </si>
  <si>
    <t>BARANGAY SAN AGUSTIN - SAN FERNANDO CITY, LA UNION</t>
  </si>
  <si>
    <t>PROVINCE OF BILIRAN</t>
  </si>
  <si>
    <t>MUNICIPALITY OF PRESIDENT ROXAS, CAPIZ</t>
  </si>
  <si>
    <t>HOUSE OF REPRESENTATIVES</t>
  </si>
  <si>
    <t>CITY OF MALABON</t>
  </si>
  <si>
    <t>CITY  OF CANLAON, NEGROS ORIENTAL</t>
  </si>
  <si>
    <t>MUNICIPALITY  OF MALASIQUI, PANGASINAN</t>
  </si>
  <si>
    <t>AGRICULTURAL TRAINING INSTITUTE-REGIONAL TRAINING CENTER-8</t>
  </si>
  <si>
    <t>MUNICIPALITY OF MARCOS, ILOCOS NORTE</t>
  </si>
  <si>
    <t>BARANGAY DARAHUWAY DACO, CATBALOGAN CITY, SAMAR</t>
  </si>
  <si>
    <t>DEPARTMENT OF AGRICULTURE MIMAROPA</t>
  </si>
  <si>
    <t>DEPARTMENT OF JUSTICE - MAIN</t>
  </si>
  <si>
    <t>PHILIPPINE MERCHANT MARINE ACADEMY</t>
  </si>
  <si>
    <t>MUNICIPALITY OF ISABELA, NEGROS OCCIDENTAL</t>
  </si>
  <si>
    <t>MUNICIPALITY OF BUENAVISTA, BOHOL</t>
  </si>
  <si>
    <t>MUNICIPALITY OF SURALLAH, SOUTH COTABATO</t>
  </si>
  <si>
    <t>PHILIPPINE COMMISSION ON WOMEN</t>
  </si>
  <si>
    <t>MUNICIPALITY OF BUGALLON - PANGASINAN</t>
  </si>
  <si>
    <t>MUNICIPALITY OF TRENTO, AGUSAN DEL SUR</t>
  </si>
  <si>
    <t>NATIONAL IRRIGATION ADMINISTRATION - NEGROS ISLAND REGION</t>
  </si>
  <si>
    <t>TARLAC STATE UNIVERSITY</t>
  </si>
  <si>
    <t>METRO COTABATO WATER DISTRICT</t>
  </si>
  <si>
    <t>MUNICIPALITY OF ALEGRIA, CEBU</t>
  </si>
  <si>
    <t>BUREAU OF FISHERIES AND AQUATIC RESOURCES</t>
  </si>
  <si>
    <t>DEPARTMENT OF ENVIRONMENT AND NATURAL RESOURCES - REGION V</t>
  </si>
  <si>
    <t>BARANGAY SAN ISIDRO, VALENCIA CITY, BUKIDNON</t>
  </si>
  <si>
    <t>BARANGAY LIBAS, CATBALOGAN, SAMAR</t>
  </si>
  <si>
    <t>CITY OF SAN FERNANDO, LA UNION</t>
  </si>
  <si>
    <t>MUNICIPALITY OF LABASON, ZAMBOANGA DEL NORTE</t>
  </si>
  <si>
    <t>MARIANO MARCOS STATE UNIVERSITY</t>
  </si>
  <si>
    <t>MUNICIPALITY OF TIWI, ALBAY</t>
  </si>
  <si>
    <t>PROVINCE OF DAVAO OCCIDENTAL</t>
  </si>
  <si>
    <t>DEPARTMENT OF SOCIAL WELFARE AND DEVELOPMENT - REGION VI</t>
  </si>
  <si>
    <t>PROVINCE OF BENGUET</t>
  </si>
  <si>
    <t>DEPARTMENT OF PUBLIC WORKS AND HIGHWAYS - QUIRINO DEO</t>
  </si>
  <si>
    <t>NATIONAL CONCILIATION AND MEDIATION BOARD-RBXI</t>
  </si>
  <si>
    <t>BARANGAY MATANGLAD,MILAGROS,MASBATE</t>
  </si>
  <si>
    <t>BUKIDNON STATE UNIVERSITY</t>
  </si>
  <si>
    <t>MUNICIPALITY OF SAN MIGUEL, SURIGAO DEL SUR</t>
  </si>
  <si>
    <t>DEPARTMENT OF AGRICULTURE - REGION II</t>
  </si>
  <si>
    <t>MUNICIPALITY OF PADADA, DAVAO DEL SUR</t>
  </si>
  <si>
    <t>SOUTHERN ISABELA COLLEGE OF ARTS AND TRADES</t>
  </si>
  <si>
    <t>MUNICIPALITY OF EL NIDO, PALAWAN</t>
  </si>
  <si>
    <t>MUNICIPALITY OF TOBIAS FORNIER,  ANTIQUE</t>
  </si>
  <si>
    <t>CAMARINES SUR INSTITUTE OF FISHERIES AND MARINE SCIENCES</t>
  </si>
  <si>
    <t>MUNICIPALITY OF MAGALLANES, SORSOGON</t>
  </si>
  <si>
    <t>GHQ BAC1 SECRETARIAT, AFP PROCUREMENT SERVICE</t>
  </si>
  <si>
    <t>MUNICIPALITY OF DUMANJUG, CEBU</t>
  </si>
  <si>
    <t>MUNICIPALITY OF LINGAYEN, PANGASINAN</t>
  </si>
  <si>
    <t>PHILIPPINE STATISTICS AUTHORITY - REGION II</t>
  </si>
  <si>
    <t>CONCEPCION WATER DISTRICT</t>
  </si>
  <si>
    <t>BARANGAY 10 POBLACION, CATBALOGAN CITY, SAMAR</t>
  </si>
  <si>
    <t>PROVINCE OF NUEVA VIZCAYA - BAYOMBONG NUEVA VIZCAYA</t>
  </si>
  <si>
    <t>DAVAO ORIENTAL STATE COLLEGE OF  SCIENCE AND  TECHNOLOGY</t>
  </si>
  <si>
    <t>PROVINCE OF MISAMIS ORIENTAL</t>
  </si>
  <si>
    <t>CITY OF MALAYBALAY, BUKIDNON</t>
  </si>
  <si>
    <t>CITY OF TALISAY, CEBU</t>
  </si>
  <si>
    <t>MAHAYAG ELEMENTARY SCHOOL - SAN FERNANDO BUKIDNON</t>
  </si>
  <si>
    <t>BARANGAY 5, PASUQUIN, ILOCOS NORTE</t>
  </si>
  <si>
    <t>MUNICIPALITY OF SANTOL, LA UNION</t>
  </si>
  <si>
    <t>DEPARTMENT OF PUBLIC WORKS AND HIGHWAYS - METRO MANILA 3RD E</t>
  </si>
  <si>
    <t>CAPT. H. FRANCISCO ELEMENTARY SCHOOL (MAIN) PATEROS</t>
  </si>
  <si>
    <t>DEPARTMENT OF TRADE AND INDUSTRY - REGION II, CAGAYAN VALLEY</t>
  </si>
  <si>
    <t>CITY OF TAGBILARAN, BOHOL</t>
  </si>
  <si>
    <t>BARANGAY STA. FE, ABUYOG, LEYTE</t>
  </si>
  <si>
    <t>MUNICIPALITY OF QUEZON, QUEZON</t>
  </si>
  <si>
    <t>BARANGAY STA. MONICA - SAN LUIS, PAMPANGA</t>
  </si>
  <si>
    <t>TAAL WATER DISTRICT</t>
  </si>
  <si>
    <t>DEPARTMENT OF PUBLIC WORKS AND HIGHWAYS - EASTERN SAMAR DEO</t>
  </si>
  <si>
    <t>BACOLOD CITY NATIONAL HIGH SCHOOL</t>
  </si>
  <si>
    <t>PROVINCE OF NEGROS ORIENTAL</t>
  </si>
  <si>
    <t>LOCAL WATER UTILITIES ADMINISTRATION</t>
  </si>
  <si>
    <t>DEPARTMENT OF PUBLIC WORKS AND HIGHWAYS - BUKIDNON 2ND DEO</t>
  </si>
  <si>
    <t>SUGAR REGULATORY ADMINISTRATION</t>
  </si>
  <si>
    <t>MUNICIPALITY OF STA. MARIA, ROMBLON</t>
  </si>
  <si>
    <t>BARANGAY NAPALICO - ARAKAN COTABATO</t>
  </si>
  <si>
    <t>MUNICIPALITY OF ALCOY, CEBU</t>
  </si>
  <si>
    <t>CITY OF LAOAG, ILOCOS NORTE</t>
  </si>
  <si>
    <t>BARANGAY BANOYO - SAN LUIS BATANGAS</t>
  </si>
  <si>
    <t>PHILIPPINE HEALTH INSURANCE CORPORATION - REGION III</t>
  </si>
  <si>
    <t>MUNICIPALITY OF BORBON, CEBU</t>
  </si>
  <si>
    <t>DEPARTMENT OF ENVIRONMENT AND NATURAL RES. - CENRO-APARRI</t>
  </si>
  <si>
    <t>MUNICIPALITY OF ALUBIJID, MISAMIS ORIENTAL</t>
  </si>
  <si>
    <t>BARANGAY MEOCAN ARAKAN COTABATO</t>
  </si>
  <si>
    <t>MUNICIPALITY OF PLACER, MASBATE</t>
  </si>
  <si>
    <t>NATIONAL POWER CORPORATION - MINDANAO GENERATION</t>
  </si>
  <si>
    <t>BARANGAY ABIACAO - SAN LUIS BATANGAS</t>
  </si>
  <si>
    <t>MUNICIPALITY OF TUPI, SOUTH COTABATO</t>
  </si>
  <si>
    <t>DEPARTMENT OF EDUCATION - SCHOOLS DIVISION OF BACOOR CITY</t>
  </si>
  <si>
    <t>MUNICIPALITY OF KALAMANSIG, SULTAN KUDARAT</t>
  </si>
  <si>
    <t>CENTER FOR HEALTH DEVELOPMENT - REGION XI</t>
  </si>
  <si>
    <t>PHILIPPINE CARABAO CENTER - KABACAN COTABATO</t>
  </si>
  <si>
    <t>BARANGAY TUMANDING - ARAKAN COTABATO</t>
  </si>
  <si>
    <t>DEPARTMENT OF PUBLIC WORKS AND HIGHWAYS - BOHOL 1ST ED</t>
  </si>
  <si>
    <t>AGRICULTURAL TRAINING INSTITUTE-REGIONAL TRAINING CENTER X</t>
  </si>
  <si>
    <t>MUNICIPALITY OF CARDONA, RIZAL</t>
  </si>
  <si>
    <t>EASTERN VISAYAS STATE UNIVERSITY</t>
  </si>
  <si>
    <t>CITY OF BISLIG, SURIGAO DEL SUR</t>
  </si>
  <si>
    <t>BARANGAY BIBINCAHAN, SORSOGON CITY</t>
  </si>
  <si>
    <t>DAVAO REGIONAL MEDICAL CENTER</t>
  </si>
  <si>
    <t>CIVIL SERVICE COMMISSION  - CENTRAL OFFICE</t>
  </si>
  <si>
    <t>MUNICIPALITY OF DUMALNEG, ILOCOS NORTE</t>
  </si>
  <si>
    <t>DEPARTMENT OF EDUCATION - DIVISION OF CABADBARAN CITY</t>
  </si>
  <si>
    <t>MUNICIPALITY OF FAMY, LAGUNA</t>
  </si>
  <si>
    <t>MUNICIPALITY OF LAPUYAN, ZAMBOANGA DEL SUR</t>
  </si>
  <si>
    <t>PROVINCE OF ILOCOS SUR</t>
  </si>
  <si>
    <t>MUNICIPALITY OF SAN ILDEFONSO, BULACAN</t>
  </si>
  <si>
    <t>BARANGAY CENTRO 1 - SANCHEZ MIRA CAGAYAN</t>
  </si>
  <si>
    <t>MUNICIPALITY OF BAUANG, LA UNION</t>
  </si>
  <si>
    <t>DALAGUETE WATER DISTRICT</t>
  </si>
  <si>
    <t>MUNICIPALITY OF TUBIGON, BOHOL</t>
  </si>
  <si>
    <t>MUNICIPALITY OF PORO, CEBU</t>
  </si>
  <si>
    <t>BARANGAY  ANAPOLON ARAKAN COTABATO</t>
  </si>
  <si>
    <t>ANGELES CITY WATER DISTRICT</t>
  </si>
  <si>
    <t>SOCIAL SECURITY SYSTEM - WESTERN VISAYAS DIVISION 1</t>
  </si>
  <si>
    <t>DEPARTMENT OF AGRARIAN REFORM - ILOILO PROVINCIAL OFFICE</t>
  </si>
  <si>
    <t>CITY OF BATANGAS, BATANGAS</t>
  </si>
  <si>
    <t>MUNICIPALITY OF MADRID ,  SURIGAO DEL SUR</t>
  </si>
  <si>
    <t>MUNICIPALITY OF PANIQUI, TARLAC</t>
  </si>
  <si>
    <t>PHILIPPINE SCIENCE HIGH SCHOOL - CAR CAMPUS</t>
  </si>
  <si>
    <t>CIVIL AVIATION AUTHORITY OF THE PHILIPPINES - AKLAN</t>
  </si>
  <si>
    <t>PHILIPPINE CENTER FOR POSTHARVEST DEV'T AND MECHANIZATION</t>
  </si>
  <si>
    <t>MUNICIPALITY OF BANNA, ILOCOS NORTE</t>
  </si>
  <si>
    <t>UNIVERSITY OF THE PHILIPPINES - VISAYAS</t>
  </si>
  <si>
    <t>CITY GOVERNMENT OF NAVOTAS</t>
  </si>
  <si>
    <t>CITY  OF HIMAMAYLAN, NEGROS OCCIDENTAL</t>
  </si>
  <si>
    <t>MUNICIPALITY OF VINTAR, ILOCOS NORTE</t>
  </si>
  <si>
    <t>CENTRAL LUZON STATE UNIVERSITY</t>
  </si>
  <si>
    <t>PHILIPPINE NATIONAL POLICE - LOGISTICS SUPPORT SERVICE</t>
  </si>
  <si>
    <t>MUNICIPALITY OF SAN ANTONIO, ZAMBALES</t>
  </si>
  <si>
    <t>CAMARINES NORTE STATE COLLEGE</t>
  </si>
  <si>
    <t>BARANGAY MA. CARIDAD - ARAKAN COTABATO</t>
  </si>
  <si>
    <t>DEPARTMENT OF EDUCATION - REGION VIII</t>
  </si>
  <si>
    <t>QUIRINO STATE UNIVERSITY</t>
  </si>
  <si>
    <t>CITY OF MEYCAUAYAN, BULACAN</t>
  </si>
  <si>
    <t>DEPARTMENT OF PUBLIC WORKS AND HIGHWAYS - IFUGAO</t>
  </si>
  <si>
    <t>BARANGAY APALIT, FLORIDABLANCA, PAMPANGA</t>
  </si>
  <si>
    <t>CAGAYAN DE ORO CITY WATER DISTRICT</t>
  </si>
  <si>
    <t>DA - PHILIPPINE RURAL DEVELOPMENT PROJECT</t>
  </si>
  <si>
    <t>NORZAGARAY WATER DISTRICT</t>
  </si>
  <si>
    <t>407TH CONTRACTING OFFICE, AFP PROCUREMENT SERVICE</t>
  </si>
  <si>
    <t>DOÑA ROSARIO ELEMENTARY SCHOOL</t>
  </si>
  <si>
    <t>LUBAO NATIONAL HIGH SCHOOL</t>
  </si>
  <si>
    <t>BARANGAY KABALABTIAN - ARAKAN COTABATO</t>
  </si>
  <si>
    <t>BARANGAY UGAC SUR - UGAC SUR TUGUEGARAO CITY</t>
  </si>
  <si>
    <t>DEPARTMENT OF ENVIRONMENT AND NATURAL RESOURCES - REGION II</t>
  </si>
  <si>
    <t>107TH CONTRACTING OFFICE, AFP PROCUREMENT SERVICE</t>
  </si>
  <si>
    <t>DEVELOPMENT BANK OF THE PHILIPPINES - BBG - NORTHERN MINDANA</t>
  </si>
  <si>
    <t>NUEVA ECIJA UNIVERSITY OF SCIENCE AND TECHNOLOGY</t>
  </si>
  <si>
    <t>BARANGAY BACSAY CATARAOAN NORTE CLAVERIA CAGAYAN</t>
  </si>
  <si>
    <t>BUREAU OF FISHERIES AND AQUATIC RESOURCES - REGION IV-A</t>
  </si>
  <si>
    <t>AYUNGON WATER DISTRICT</t>
  </si>
  <si>
    <t>MUNTINLUPA BUSINESS HIGH SCHOOL</t>
  </si>
  <si>
    <t>DEPARTMENT OF ENVIRONMENT AND NATURAL RES. - PENRO, BUKIDNON</t>
  </si>
  <si>
    <t>Procurement of 1 unit Mini Dumptruck</t>
  </si>
  <si>
    <t>Purchase of Supplies and Material for the construction of 2 waiting shed</t>
  </si>
  <si>
    <t>Purchase of Materials for Construction/Installation of Jetmatic Pumps</t>
  </si>
  <si>
    <t>Installation of Brgy. Solar Street Lights (Phase2), Brgy. Poblacion Banate, Iloilo</t>
  </si>
  <si>
    <t>ROAD CONCRETING, PUROK 5, BARANGAY CALANCUASAN SUR</t>
  </si>
  <si>
    <t>IB No. 2020 - 05 Procurement of Infra (Road Concreting of Saco St. ( Sta. 00+000 – Sta. 00+212.11 )</t>
  </si>
  <si>
    <t>GEOTECHNICAL SUB SURFACE EXPLORATION: PACKAGE No. 2020-01, MLANG AND TULUNAN, NORTH COTABATO</t>
  </si>
  <si>
    <t>CONSTRUCTION OF BOX CULVERT -BARANGAY BONIFACIO</t>
  </si>
  <si>
    <t>Rip-Rapping of Sitio Sto. Niño, Barangay Binugao</t>
  </si>
  <si>
    <t>ROAD CONCRETING, PUROK 2, BARANGAY VILLAFLORES</t>
  </si>
  <si>
    <t>Purchase of Fuel, Oil and Lubricants for the 3rd Quarter</t>
  </si>
  <si>
    <t>Invitation to Bid</t>
  </si>
  <si>
    <t>CONSTRUCTION OF RIPRAP -BARANGAY RIZAL</t>
  </si>
  <si>
    <t>Electrical rewiring</t>
  </si>
  <si>
    <t>concreting FMR</t>
  </si>
  <si>
    <t>CONSTRUCTION OF CANAL LINING, BARANGAY BULALA TO BARANGAY BANTUG</t>
  </si>
  <si>
    <t>Procurement of Various Supplies</t>
  </si>
  <si>
    <t>Procurement of Athletic Uniforms</t>
  </si>
  <si>
    <t>ROAD CONCRETING, BARANGAY CALANCUASAN NORTE</t>
  </si>
  <si>
    <t>CONSTRUCTION OF 40 STALLS BESIDE WET MARKET</t>
  </si>
  <si>
    <t>SUPPLY OF RICE FOR WALK IN CLIENT OF SB</t>
  </si>
  <si>
    <t>2996-20 Procurement of Other Supplies and Materials</t>
  </si>
  <si>
    <t>for chlorine residual test reagent use</t>
  </si>
  <si>
    <t>SUPPLY OF SPARE PARTS OF MUN. BULLDOZER</t>
  </si>
  <si>
    <t>3080-20 Procurement of Tire</t>
  </si>
  <si>
    <t>SUPPLY OF RICE FOR WALK IN CLIENT OF MAYOR</t>
  </si>
  <si>
    <t>2997-20 Procurement of Office Supplies</t>
  </si>
  <si>
    <t>Purchase of 150cc Motorcycle,f.i. and 125cc motorcycle, f.i. 15% building permits fees and charges from sept. 2016 to sept. 2019</t>
  </si>
  <si>
    <t>SUPPLY OF SPARE PARTS OF MUN. DUMPTRUCK</t>
  </si>
  <si>
    <t>3123-20 Procurement of Other Supplies</t>
  </si>
  <si>
    <t>WMSU Water Refilling Station</t>
  </si>
  <si>
    <t>2968-20 Procurement of Tires</t>
  </si>
  <si>
    <t>3090-20 Procurement of Other Supplies</t>
  </si>
  <si>
    <t>2312-20 Procurement of Animal Zoological Supplies</t>
  </si>
  <si>
    <t>3091-20 Procurement of T-shirt</t>
  </si>
  <si>
    <t>3089-20 Procurement of Office Supplies</t>
  </si>
  <si>
    <t>3058-20 Procurement of Office Supplies</t>
  </si>
  <si>
    <t>Supply and Delivery of Various Printer Ink for Various Colleges and Offices of the University</t>
  </si>
  <si>
    <t>3079-20 Procurement of Fire Extinguisher Refill</t>
  </si>
  <si>
    <t>Supply and Delivery of Various Office Supplies &amp; Materials for the University</t>
  </si>
  <si>
    <t>Supply and Delivery of Aircondition Units for the College of Liberal Arts</t>
  </si>
  <si>
    <t>Supply and Delivery of Medical, Dental and Labarotary Supplies (Lot No. and Lot No. 2); PR No. 20-1412 dated 29 May 2020; SN 130 - 2020</t>
  </si>
  <si>
    <t>3033-20 Procurement of Airconditioning Unit</t>
  </si>
  <si>
    <t>Supply and Delivery of Various Materials and Equipment for the ESU</t>
  </si>
  <si>
    <t>3050-20 Procurement of Airconditioning Unit</t>
  </si>
  <si>
    <t>Procurement/Acquisition of Boom Truck</t>
  </si>
  <si>
    <t>3048-20 Procurement of Other Supplies</t>
  </si>
  <si>
    <t>Supply and Delivery of Various Furniture and Fixtures for the ESU</t>
  </si>
  <si>
    <t>PURCHASE OF MATERIALS FOR THE CONSTRUCTION OF BASE FOR TRANSFER OF HEDCOR BUILDING AT MALUKO</t>
  </si>
  <si>
    <t>2896-20 Procurement of Medical, Dental and Laboratory Supplies</t>
  </si>
  <si>
    <t>Food and Venue for the Conduct of Quality Assurance of the Central and Regional Initiated Self-Instructional Learning Modules (SLIMs) assigned to Cotabato Division</t>
  </si>
  <si>
    <t>3129-20 Procurement of Other Supplies</t>
  </si>
  <si>
    <t>PBD 20-078 LED Smart TV</t>
  </si>
  <si>
    <t>3127-20 Procurement of Office Supplies</t>
  </si>
  <si>
    <t>Furnishing of Construction Materials for Office Renovation of MDIP Building</t>
  </si>
  <si>
    <t>2315-20 Procurement of Materials for the Repainting OR and DR Complex</t>
  </si>
  <si>
    <t>3122-20 Procurement of Office Supplies</t>
  </si>
  <si>
    <t>Procurement of Infrastructure for Concreting of Road Public Market Area</t>
  </si>
  <si>
    <t>3128-20 Procurement of Office Supplies</t>
  </si>
  <si>
    <t>RFQ 064 ICT EQUIPMENT (OSA)</t>
  </si>
  <si>
    <t>PURCHASE OF MATERIALS FOR THE CONSTRUCTION OF 2 MAKESHIFT CLASSROOMS AT DAHILAYAN INTEGRATED SCHOOL</t>
  </si>
  <si>
    <t>Supply and delivery of Curtains and Curtain Rods</t>
  </si>
  <si>
    <t>3130-20 Procurement of Other Supplies</t>
  </si>
  <si>
    <t>Procurement of Air Conditioning (Split Type)</t>
  </si>
  <si>
    <t>Invitation to Bid for REPAIR OF CLASSROOMS UNDER CY 2020 QUICK RESPONSE FUND (QRF) (Lots 4,9, 11, 22 and 32 – Rebid)</t>
  </si>
  <si>
    <t>Procurement of Infrastructure for Concreting of Road Going to Evacuation Center</t>
  </si>
  <si>
    <t>Supply and delivery of Water Treatment Equipment</t>
  </si>
  <si>
    <t>Supply and Delivery of Disaster Supplies and Materials</t>
  </si>
  <si>
    <t>Construction of Water Impounding System intended for Municipal Water Supply System Brgy. Minahan Sur,  General Nakar, Quezon</t>
  </si>
  <si>
    <t>Procurement of Infrastructure for Completion of Concreting of School Fence(TCC)</t>
  </si>
  <si>
    <t>Purchase of Plumbing Materials for PWA</t>
  </si>
  <si>
    <t>School and Office Supplies for First Quarter of 2020</t>
  </si>
  <si>
    <t>One Job Supply of Materials and  Labor for the Support to Municipal Nursery/Barangay Nurseries (Construction of Working Cottage).</t>
  </si>
  <si>
    <t>REQUEST FOR QUOTATION FOR USE OF EX200-01 EXCAVATOR WITH PROP. # FF21-02 ASSIGNED AT SCIMO</t>
  </si>
  <si>
    <t>PURCHASE OF MATERIALS FOR THE CONSTRUCTION OF 2 MAKESHIFT CLASSROOMS AT MANTIBUGAO INTEGRATED SCHOOL</t>
  </si>
  <si>
    <t>Purchase of System Database for PBCC</t>
  </si>
  <si>
    <t>Purchase of Commodities for CAA 1 and CAA 2 (MPOC)</t>
  </si>
  <si>
    <t>SOLAR POWERED STREETLIGHTS</t>
  </si>
  <si>
    <t>OFFICE SUPPLIES AND MATERIALS</t>
  </si>
  <si>
    <t>Water System at Brgy. Sta. Monica CY 2019-20% EDF</t>
  </si>
  <si>
    <t>Supply, Delivery and Installation of Brand New Repeater Radio Equipment and Accessories for the Enhancement of Communication System of CDRRMO</t>
  </si>
  <si>
    <t>Supply and Delivery of Medical Oxygen</t>
  </si>
  <si>
    <t>Medicines CY 2020 General Fund</t>
  </si>
  <si>
    <t>Water System Improvement @ Barangay Bagtic CY 2019-20% EDF.</t>
  </si>
  <si>
    <t>RFQ</t>
  </si>
  <si>
    <t>Supply and Delivery of Veterinary Supplies</t>
  </si>
  <si>
    <t>Procurement of amlodipine</t>
  </si>
  <si>
    <t>Supply and Delivery of Mineral Oil, Vegetable Oil and Citronella Plants</t>
  </si>
  <si>
    <t>Procurement of Goods vit C, july 2</t>
  </si>
  <si>
    <t>20L00146 : Construction of Concrete Road – Bypass Road at Ma-a Radio Station – Datu Loho St. – Riverside – Jct. Bacaca Road, Davao City</t>
  </si>
  <si>
    <t>Registry of Barangay Inhabitant (RBI), Certifications, Cases,and Website</t>
  </si>
  <si>
    <t>Procurement of Heparin, hemodialysis treatment packages</t>
  </si>
  <si>
    <t>Supply and Delivery of 1 Lot Drugs and Medicines; PR No. 20-1387 dated May 12, 2020</t>
  </si>
  <si>
    <t>IMPROVEMENT/WIDENING OF ENSOMO STREET (White Beach)</t>
  </si>
  <si>
    <t>Supply and Delivery of 12 Units Airconditioner &amp; Other Items; PR No. 20-1426 dated May 29, 2020</t>
  </si>
  <si>
    <t>20L00138 : Reconstruction of Concrete Road Along Bypass Road at Jct. Davao – Cotabato Rd. (Matina Crossing Section) – Matina Aplaya Rd. – Jct. Tulip Drive (Davao – Cotabato Rd.) – Ecoland Drive – Jct.</t>
  </si>
  <si>
    <t>PURCHASE OF FORMS TO BE USED BY ASSESSOR'S OFFICE</t>
  </si>
  <si>
    <t>IMPROVEMENT OF MULTI-PURPOSE BUILDING (Escolta)</t>
  </si>
  <si>
    <t>Supply and delivery of various Construction Materials to be used for the markings along General Alejo Santos Highway Road</t>
  </si>
  <si>
    <t>PURCHASE OF IT EQUIPMENTS TO BE USED BY LGU-AMADEO</t>
  </si>
  <si>
    <t>3156-20 Procurement of Ceftriaxone vial</t>
  </si>
  <si>
    <t>3155-20 Procurement of Office Supplies</t>
  </si>
  <si>
    <t>3158-20 Procurement of Surgical Mask</t>
  </si>
  <si>
    <t>3176-20 Procurement of Medical Oxygen Tank</t>
  </si>
  <si>
    <t>Repair of Girls' Dormitory</t>
  </si>
  <si>
    <t>PURCHASE OF OFFICE SUPPLIES TO BE USED BY DIFFERENT OFFICES</t>
  </si>
  <si>
    <t>20L00156 : Construction of Bridge Approach – Davao City Coastal Bypass Road (Bago Aplaya –Times Beach – Roxas Avenue), Package 4A, Davao City</t>
  </si>
  <si>
    <t>Procurement of DRUGS AND MEDICINES</t>
  </si>
  <si>
    <t>3188-20 Procurement of Drugs and Medicines</t>
  </si>
  <si>
    <t>3160-20 Procurement of I.V Fluids</t>
  </si>
  <si>
    <t>FABRICATION AND INSTALLATION OF BARANGAY DAGATAN STREETLIGHTING LOCATED @ BRGY. DAGATAN, AMADEO, CAVITE</t>
  </si>
  <si>
    <t>20L00155 : Construction of Concrete Bridge (Substructure Only) - Davao City Coastal Bypass Road (Bago Aplaya - Times Beach - Roxas Avenue), Package 5B, Davao City</t>
  </si>
  <si>
    <t>20L00158 : Construction of Asphalt Road – Davao City Coastal Bypass Road (Bago Aplaya – Times Beach – Roxas Avenue), Package 21, Davao City</t>
  </si>
  <si>
    <t>PURCHASE OF BUSINESS PLATES, 2020 STICKER AND TODA STICKER FOR THE USE OF BPLO</t>
  </si>
  <si>
    <t>20L00157 : Construction of Asphalt Road – Davao City Coastal Bypass Road (Bago Aplaya – Times Beach – Roxas Avenue), Package 20, Davao City</t>
  </si>
  <si>
    <t>INSTALLATION OF CCTV CAMERA @ VARIOUS BARANGAY LOCATED @ AMADEO, CAVITE</t>
  </si>
  <si>
    <t>3161-20 Procurement of Drugs and Medicines</t>
  </si>
  <si>
    <t>20-03-0423 Additional materials for deep sea payao in E. Samar</t>
  </si>
  <si>
    <t>20L00162 : Construction of Asphalt Road – Davao City Coastal Bypass Road (Bago Aplaya – Times Beach – Roxas Avenue), Package 25, Davao City</t>
  </si>
  <si>
    <t>Procurement of supplies and materials to be used for Skills Training Cum Production in Wooden Poultry House for Organic Chicken Production</t>
  </si>
  <si>
    <t>PROCUREMENT AND RESTORATION OF RADIO COMMUNICATION</t>
  </si>
  <si>
    <t>PURCHASE OF WHEEL CLAMP TO BE USED FOR BALIK KALSADA PROGRAM OF PNP</t>
  </si>
  <si>
    <t>PURCHASE OF JANITORIAL SUPPLIES TO BE USED BY DIFFERENT OFFICES</t>
  </si>
  <si>
    <t>20GM0063 (RE-BIDDING) - Upgrading/Improvement/Expansion of Lorenzo D. Zayco, District Hospital, Kabankalan City, Negros Occidental.</t>
  </si>
  <si>
    <t>Supply and Delivery of Relief Goods (PR No. 20-06-0229)</t>
  </si>
  <si>
    <t>CONSTRUCTION OF CANAL LINING LOCATED @ BRGY. #7, AMADEO, CAVITE</t>
  </si>
  <si>
    <t>20L00160 : Construction of Asphalt Road – Davao City Coastal Bypass Road (Bago Aplaya – Times Beach – Roxas Avenue), Package 23, Davao City</t>
  </si>
  <si>
    <t>PURCHASE OF MEDICAL SUPPLIES TO BE USED BY RHU</t>
  </si>
  <si>
    <t>20-03-0422 Materials to be used for elevated seaweed solar dryer for E. Samar</t>
  </si>
  <si>
    <t>IMPROVEMENT OF AMADEO POLICE STATION LOCATED @ AMADEO, CAVITE</t>
  </si>
  <si>
    <t>CONCRETING OF TALYER ROAD LOCATED @ BRGY. SALABAN, AMADEO, CAVITE</t>
  </si>
  <si>
    <t>PROVISION OF PLACENTA / MEDICAL WASTE PIT</t>
  </si>
  <si>
    <t>PURCHASE OF MEDICINE TO BE USED BY RHU</t>
  </si>
  <si>
    <t>Procurement of Fertilizer</t>
  </si>
  <si>
    <t>20L00161 : Construction of Asphalt Road – Davao City Coastal Bypass Road (Bago Aplaya – Times Beach – Roxas Avenue), Package 24, Davao City</t>
  </si>
  <si>
    <t>20L00163 : Construction of Asphalt Road – Davao City Coastal Bypass Road (Bago Aplaya – Times Beach – Roxas Avenue), Package 26, Davao City</t>
  </si>
  <si>
    <t>20L00159 : Construction of Asphalt Road – Davao City Coastal Bypass Road (Bago Aplaya – Times Beach – Roxas Avenue), Package 22, Davao City</t>
  </si>
  <si>
    <t>20L00164 : Construction of Asphalt Road – Davao City Coastal Bypass Road (Bago Aplaya – Times Beach – Roxas Avenue), Package 27, Davao City</t>
  </si>
  <si>
    <t>PURCHASE OF SAFETY GEARS FOR MDRRMO RESPONDERS</t>
  </si>
  <si>
    <t>20EE0128 Repair/Maintenance of DPWH Building, Langogan Resthouse, Bgy. Langogan Brgy Langogan, Puerto Princesa City, Palawan</t>
  </si>
  <si>
    <t>20L00166 : Construction of Esplanade (Times Beach Section) Along Davao City Coastal Bypass Road (Bago Aplaya – Times Beach – Roxas Avenue), Davao City</t>
  </si>
  <si>
    <t>PROCUREMENT OF SERVICES FOR REWINDING OF TWO (2) UNITS 25 KVA DISTRIBUTION TRANSFORMER</t>
  </si>
  <si>
    <t>Procurement of 1 unit Mini-Truck for Rescue Program</t>
  </si>
  <si>
    <t>20L00165 : Construction of Asphalt Road – Davao City Coastal Bypass Road (Bago Aplaya – Times Beach – Roxas Avenue), Package 28, Davao City</t>
  </si>
  <si>
    <t>PROCUREMENT AND DELIVERY OF MATERIALS FOR THE CONSTRUCTION OF 84 BY 1 METER PERIMETER FENCE OF LEUTEBORO NHS</t>
  </si>
  <si>
    <t>PURCHASE OF SUPPLIES FOR USE OF OSCA</t>
  </si>
  <si>
    <t>PURCHASE OF SUPPLIES FOR USE OF PWD</t>
  </si>
  <si>
    <t>20EE0126 Repainting of Concrete Bridges along El Nido - Jct. New Ibajay Road Section, K0276+268 - K0329+005 (S00059PW) and Jct Paglaum-Bato Road Section K0189+138 - K0198+910 (S00045PW) Taytay &amp; El Ni</t>
  </si>
  <si>
    <t>20EE0132 Repair/Maintenance of DPWH Building Super Area (Storage Room) Brgy. III, Roxas, Palawan</t>
  </si>
  <si>
    <t>SUPPLY AND DELIVERY OF VARIOUS CONSTRUCTION MATERIALS AND ROLL UP DOOR</t>
  </si>
  <si>
    <t>20EE0134 Cluster 2-Construction of Rainwater Collection System (RWCS): 1. Tagumpay Elementary School, Tagumpay, Coron 2. Tagum Elementary School, Tagum, Coron 3. Claudio Sandoval Elementary School, Po</t>
  </si>
  <si>
    <t>Supply and Delivery of Various Office Supplies; PR No. 20-1432 dated 11 June 2020; SN 131 - 2020</t>
  </si>
  <si>
    <t>Installation of Garbage Bins in Barangay Poblacion and other adjacent Barangays</t>
  </si>
  <si>
    <t>Repair of Boys' Dormitory</t>
  </si>
  <si>
    <t>Supply and Delivery of Diesel and Unleaded Gasoline Including Installation of Petroleum Underground Storage Tanks and Fuel Dispensers; PR No. 20-1431 dated 16 June 2020; SN 132 - 2020</t>
  </si>
  <si>
    <t>Supply and Delivery of Farm Input (Vegetable Seeds &amp; Tools/Inputs)</t>
  </si>
  <si>
    <t>Request for Price Quotation for Office Chairs (4th Supplemental 2019 APP)</t>
  </si>
  <si>
    <t>Supply and Delivery of Kitchenware</t>
  </si>
  <si>
    <t>Drainage Improvement along C5, District II, Makati City</t>
  </si>
  <si>
    <t>Construction of 30-Meter Fence Perpendicular to MSU-TCTO Main Gate</t>
  </si>
  <si>
    <t>PURCHASE OF ISOLATION AMENITIES</t>
  </si>
  <si>
    <t>Rehabilitation / Improvement and Maintenance of Drainage System along Beata St., and Vicinity, Pandacan, District VI, Manila City</t>
  </si>
  <si>
    <t>Supply and Delivery of Farm Input (Seeds &amp; Fertilizer)</t>
  </si>
  <si>
    <t>Drainage Improvement along Kalayaan Avenue, District II, Makati City</t>
  </si>
  <si>
    <t>PROCUREMENT OF DIRECT DIGITAL RADIOGRAPHY SYSTEM</t>
  </si>
  <si>
    <t>RE-BIDDING- PROCUREMENT OF 1 LOT VARIOUS LABORATORY REAGENTS</t>
  </si>
  <si>
    <t>Supply and Delivery of Laptop with Printer and Other Supplies and Equipment.</t>
  </si>
  <si>
    <t>PROCUREMENT OF ANTHROPOMORHIC PHANTOM FOR BS RADIOLOGIC TECHNOLOGY</t>
  </si>
  <si>
    <t>Drainage Improvement and Concreting at Barangay Vasra, District I, Quezon City</t>
  </si>
  <si>
    <t>Supply and Delivery of Office Supplies and Devices</t>
  </si>
  <si>
    <t>Supply and Delivery of Const. Materials for the Const. of Multi-Purpose Pavement @ Lanting, Roxas, Isabela</t>
  </si>
  <si>
    <t>Drainage Improvement along Esperanza St. and Vicinities, District II, Valenzuela City</t>
  </si>
  <si>
    <t>Supply and Delivery of Office Supplies, Office of the Municipal Mayor, San Jose, Batangas</t>
  </si>
  <si>
    <t>Labor and Materials for Rehabilitation of Multicab Cabin for Meat Transport</t>
  </si>
  <si>
    <t>Construction of Four (4) Storey Sixteen (16) Classroom Building at Lapaz National High School, Lapaz, Iloilo City (Bid No. 20-125)</t>
  </si>
  <si>
    <t>Supply and Delivery of Starter Kit Packages for Sari-Sari Store through the Implementation of Negosyo Center Serbisyo sa Barangay (NSB) in Jalajala and Baras, Rizal</t>
  </si>
  <si>
    <t>Drainage Improvement and Concreting at Barangay Sauyo, District VI, Quezon City</t>
  </si>
  <si>
    <t>Supply and Delivery of  One (1) Lot of Various Materials for Improvement of Drainage System</t>
  </si>
  <si>
    <t>Drainage Improvement and Concreting at Barangay BagongSilangan, District II, Quezon City</t>
  </si>
  <si>
    <t>Improvement / Deepening of Estero De Concordia, Pandacan,  District VI, Manila</t>
  </si>
  <si>
    <t>Supply of Office Supplies</t>
  </si>
  <si>
    <t>Drainage Improvement / Declogging along J. Luna St., H. Lopez Blvd., C-2 Road and Vicinity, Tondo, District II, Manila</t>
  </si>
  <si>
    <t>Purchase of  Dump Truck to be used in Solid Waste Management at the Municipality of San Nicolas, Batangas</t>
  </si>
  <si>
    <t>Drainage Improvement / Declogging along R-10, Pacheco St. and Vicinity, Tondo, District I, Manila City</t>
  </si>
  <si>
    <t>Improvement of Malabon-Tullahan River, Muzon-Concepcion,  Malabon City</t>
  </si>
  <si>
    <t>CAN - Food and Drinks UDM PR No. 834</t>
  </si>
  <si>
    <t>2020-06-281 PROCUREMENT OF CATERING SERVICES - VGO</t>
  </si>
  <si>
    <t>Supply and Delivery of One (1) Various Materials for the Construction of RCA (residual Containment Area )Building</t>
  </si>
  <si>
    <t>Procurement of Construction Materials and Supplies Use for the Maintenance of NRJ (Loreto) Sto. Nino-Bugdangan-Ferdinand Comval Boundary Road at Loreto ADS</t>
  </si>
  <si>
    <t>CCTV PACKAGE</t>
  </si>
  <si>
    <t>Procurement of  CCTV Camera</t>
  </si>
  <si>
    <t>Repair of Classroom at Melchor L. Nava National High School, Calaparan, Arevalo, Iloilo City (Bid No. 20-127)</t>
  </si>
  <si>
    <t>CONSTRUCTION OF POTABLE WATER SYSTEM LEVEL II</t>
  </si>
  <si>
    <t>Rehabilitation/Construction of Roads at Brgy. Bakhaw, Mandurriao, Iloilo City (Bid No. 20-128)</t>
  </si>
  <si>
    <t>Supply and Delivery of One (1) Lot Various Materials for the Improvement of Tourist Facilities</t>
  </si>
  <si>
    <t>Dredging of Maricaban Creek, at the Back of Magallanes Village, Makati City and Villamor Barangay 183 Pasay City</t>
  </si>
  <si>
    <t>20GM0080 - Upgrading/Improvement/Expansion of Candoni RHU, Negros Occidental.</t>
  </si>
  <si>
    <t>Construction/Rehabilitation of Existing Drainage System at Brgy. Navais, Mandurriao, Iloilo City (Bid No. 20-129)</t>
  </si>
  <si>
    <t>Fabrication and Installation of Grills in Classrooms of PAGCOR Building and Four (4) Storey BEEF Building at Iloilo City National High School, Molo, Iloilo City (Bid No. 20-131)</t>
  </si>
  <si>
    <t>Rehabilitation of All Gabaldon Building at Montes I Elementary School, City Proper, Iloilo City (Bid No. 20-130)</t>
  </si>
  <si>
    <t>PURCHASE OF FURNITURE AND FIXTURES TO BE USED BY DIFFERENT OFFICES</t>
  </si>
  <si>
    <t>Supply and Delivery of Communication Equipment Parts and Accessories (NCEBde)</t>
  </si>
  <si>
    <t>Procurement of  CCTV Camera Procurement of Fire Extinguisher</t>
  </si>
  <si>
    <t>Supply and Delivery of Other Supplies and Materials (NCEBde)</t>
  </si>
  <si>
    <t>PURCHASE OF AUDIO AND VISUAL EQUIPMENT TO BE USED BY DIFFERENT OFFICES</t>
  </si>
  <si>
    <t>Supply and Delivery of Communication Equipment Parts and Accessories (NISF)</t>
  </si>
  <si>
    <t>PURCHASE OF IT EQUIPMENTS TO BE USED BY DIFFERENT OFFICES</t>
  </si>
  <si>
    <t>Procurement of Clean and Beautification</t>
  </si>
  <si>
    <t>Procurement of HARDWARE SUPPLIES</t>
  </si>
  <si>
    <t>Request for Quotation - Office supplies for the 1st Qtr of Y2020 - HBC (with CNAS 06.17.20)</t>
  </si>
  <si>
    <t>Procurement of Construction Materials and Supplies use for the maintenance of NRJ (Trento) Pulang-lupa-Upper New Visayas-Monkayo Boundary Road at Trento ADS</t>
  </si>
  <si>
    <t>Construction/Rehabilitation of Existing Drainage System at Brgy. Pali-Benedicto, Mandurriao, Iloilo City (Bid No. 20-132)</t>
  </si>
  <si>
    <t>PURCHASE OF OFFICE EQUIPMENT TO BE USED BY DIFFERENT OFFICES</t>
  </si>
  <si>
    <t>Repair and Maintenance of LGU Service Vehicles, MGSO, San Jose, Batangas</t>
  </si>
  <si>
    <t>PURCHASE OF PHOTOGRAPHIC EQUIPMENT TO BE USED BY DIFFERENT OFFICES</t>
  </si>
  <si>
    <t>Construction/Rehabilitation of Existing Drainage System at Brgy. Tacas, Jaro, Iloilo City (Bid No. 20-136)</t>
  </si>
  <si>
    <t>PURCHASE OF MEDICAL EQUIPMENT TO BE USED BY DIFFERENT OFFICES</t>
  </si>
  <si>
    <t>Procurement of Construction Materials and Supplies use for the Establishment of 1 Residual Containment Area (RCA) at Sitio Kalimutan, San Vicente,Loreto, ADS</t>
  </si>
  <si>
    <t>Procurement of Clean and Beautification Procurement of Water Tank</t>
  </si>
  <si>
    <t>(Re-bidding)  Procurement of Multi-Purpose Vehicle for Office of the Mayor</t>
  </si>
  <si>
    <t>Construction/Rehabilitation/Improvement of Multi-Purpose Hall at Brgy. Bakhaw, Mandurriao, Iloilo City (Bid No. 20-135)</t>
  </si>
  <si>
    <t>Supply and Delivery of Materials for the Installation of Loadside Wire at Mamala 2 Water Pump, Brgy. Mamala 2, Sariaya, Quezon</t>
  </si>
  <si>
    <t>Wide Format Multi Function Printer etc. - REBID (01-0001) OBO</t>
  </si>
  <si>
    <t>Concreting of Road (Ph.3) at Dumpsite, Brgy. Sabang, Naic, Cavite</t>
  </si>
  <si>
    <t>Construction/Rehabilitation/Improvement of Multi-Purpose Hall at Brgy. Rizal Pala-Pala I, City Proper, Iloilo City (Bid No. 20-137)</t>
  </si>
  <si>
    <t>PBD 20-046A Light Absorption  Apparatus with Accessories</t>
  </si>
  <si>
    <t>IMPROVEMENT OF MULTI PURPOSE BUILDING</t>
  </si>
  <si>
    <t>Construction of Perimeter Fence at School Grounds at Hillview, Brgy. Timalan Balsahan, Naic, Cavite</t>
  </si>
  <si>
    <t>SUPPLY AND DELIVERY OF VARIOUS CI AND MECHANICAL FITTINGS FOR POTABLE WATER</t>
  </si>
  <si>
    <t>Procurement of Construction Materials and Supplies use for the Maintenance of NRJ (San Francisco) Lapinigan-Mate-Cabantao Road at San Francisco, ADS</t>
  </si>
  <si>
    <t>Supply and Delivery of Common Computer Inks</t>
  </si>
  <si>
    <t>G-2020-15: SERVICE PROVIDER FOR BANKWIDE GENERAL SUPPORT SERVICES OF THE DEVELOPMENT BANK OF THE PHILIPPINES</t>
  </si>
  <si>
    <t>Supply and Delivery of Sanitation and disfectant Supplies.</t>
  </si>
  <si>
    <t>Supply and Delivery of Various Hardware Materials for MCT - (2 Lots) (“Project”)</t>
  </si>
  <si>
    <t>Supply and delivery of medicines to be used in Veterinary  extension services</t>
  </si>
  <si>
    <t>Construction/Rehabilitation/Improvement of Multi-Purpose Hall at Brgy. Rizal , Lapaz, Iloilo City (Bid No. 20-138)</t>
  </si>
  <si>
    <t>Repair/Maintenance of Public Elementary Schools, Naic, Cavite</t>
  </si>
  <si>
    <t>Public Bidding of 2 Lots for the Supply and Delivery of Office Supplies &amp; Janitorial Supplies for Mambusao District Hospital, under ITB No. 2020-012R</t>
  </si>
  <si>
    <t>20IE0101 - REPAIR/MAINTENANCE OF DILG BUILDING LEYTE POLICE STATION Paz St., Poblacion, Leyte, Leyte</t>
  </si>
  <si>
    <t>Procurement of ENVIRONMENTAL HEALTH/SAFETY EQUIPMENT</t>
  </si>
  <si>
    <t>PBD 20-072A Equipment for Recombinant Expression of Bioactive Compounds</t>
  </si>
  <si>
    <t xml:space="preserve">Procurement of Construction Materials and Supplies USE FOR THE ESTABLISHMENT OF 1 RESIDUAL CONTAINMENT AREA (RCA) AT SITIO BACLISE, BARANGAY ANGAS, STA. JOSEFA, ADS UNDER THE PROJECT ESTABLISHMENT OF </t>
  </si>
  <si>
    <t>2020-06-011 PROCUREMENT OF CONSTRUCTION MATERIALS AND SUPPLY</t>
  </si>
  <si>
    <t>P.R. No. 2020-06-0034 - Procurement of Materials for Act. 303: Guardrails Maintenance  for 3rd Qtr. CY-2020</t>
  </si>
  <si>
    <t>P.R. No. 2020-06-0033 - Procurement of Materials for Act. 302: Repainting of Centerlines &amp; Lanelines for 3rd Qtr. CY-2020</t>
  </si>
  <si>
    <t>Procurement of General Merchandise</t>
  </si>
  <si>
    <t>P.R. No. 2020-06-0035 - Procurement of Materials for Carriageway Maintenance Work Category No. 10 Act. 121 &amp; 122 - Patching Concrete &amp; Joint Sealing on Concrete Pavements for 3rd Qtr. CY-2020</t>
  </si>
  <si>
    <t>Procurement of Construction Materials and Supplies  USE FOR THE ESTABLISHMENT OF 1 RESIDUAL CONTAINMENT AREA (RCA) AT ECO PARK, PULANG LUPA, TRENTO, ADS UNDER THE PROJECT ESTABLISHMENT OF PROVINCIAL E</t>
  </si>
  <si>
    <t>Height Extension of Perimeter Fence and Installation of Combat Wire (Re Post)</t>
  </si>
  <si>
    <t>Construction of Veterinary Clinic at CPSU Campus, Brgy XIV, Victorias City</t>
  </si>
  <si>
    <t>Good Lumber etc. (06-0578-A) CEO</t>
  </si>
  <si>
    <t>Purchase of  Various  Spre Parts (PR No. 20-06-0021)</t>
  </si>
  <si>
    <t>PROCUREMENT AND DELIVERY OF PRINTING SUPPLIES</t>
  </si>
  <si>
    <t>Supply and Delivery of One (1)  Lot Various Materials for the Construction of Vermiculture Production Building</t>
  </si>
  <si>
    <t>Fabrication of Tables and Cabinets of Different Offices, Naic, Cavite</t>
  </si>
  <si>
    <t>CONSTRUCTION OF EVACUATION CENTER(Brgy. Magsaysay, Culasi, Antique)/IB. NO. K-2020-060(SC)</t>
  </si>
  <si>
    <t>Maintenance of Waterworks System</t>
  </si>
  <si>
    <t>CONSTRUCTION OF MULTI-PURPOSE CENTER(San Antonio ES, Brgy. San Antonio, Barbaza, Antique)/IB. NO. K-2020-064(SC)</t>
  </si>
  <si>
    <t>Other Supplies and Materials Expenses</t>
  </si>
  <si>
    <t>Procurement of Construction Materials  for the  Concreting of  Pathway</t>
  </si>
  <si>
    <t>CONSTRUCTION OF MULTI-PURPOSE CENTER (Phase 2)(Baghari, Barbaza, Antique)/IB. NO. K-2020-063(SC)</t>
  </si>
  <si>
    <t>Procurement for Graduation and Recognition Exercises 2020</t>
  </si>
  <si>
    <t>Bid No. 20-0275 - PROCUREMENT OF OFFICE SUPPLIES - MCR (MUNICIPAL CIVIL REGISTRAR)</t>
  </si>
  <si>
    <t>Office Supplies Expenses</t>
  </si>
  <si>
    <t>Supply and Delivery of Two (2) Units Emergency Transport Vehicle to be used in the Office of the Municipal Mayor (satellite office in Aurora), Naujan, Oriental Mindoro</t>
  </si>
  <si>
    <t>Food Supplies Expenses</t>
  </si>
  <si>
    <t>REPAIR IMPROVEMENT OF MULTI-PURPOSED BUILDING</t>
  </si>
  <si>
    <t>Medical, Dental and Laboratory Supplies Expenses</t>
  </si>
  <si>
    <t>LOWER USUGAN ES MOOE MARCH AND APRIL 2020</t>
  </si>
  <si>
    <t>Concreting of Access Road to Municipal Slaughterhouse</t>
  </si>
  <si>
    <t>Supply and Delivery of Various Agricultural Supplies for use in implementation of various Research Project under Rice RND FY 2020</t>
  </si>
  <si>
    <t>RFQ-DVO-PR.NO. 2006164 CAT. 80 FUEL, OIL, LUBRICANTS AND SERVICING</t>
  </si>
  <si>
    <t>Repair and Maintenance-Motor Vehicles</t>
  </si>
  <si>
    <t>CONCRETE PAVEMENT AT CALINOG TERMINAL COMPLEX</t>
  </si>
  <si>
    <t>Supply and Delivery of Various Agricultural Supplies for use in implementation of different Research Projects under Rice RND FY 2020</t>
  </si>
  <si>
    <t>PURCHASE OF SOIL AMELIORANT</t>
  </si>
  <si>
    <t>Procurement of 498 bags Urea for use in implementation of Various Research Projects under Rice RND FY 2020</t>
  </si>
  <si>
    <t>Supply and Delivery of Agricultural supplies for use in implementation of various Research Project under Rice RND FY 2020</t>
  </si>
  <si>
    <t>CONCRETING OF FARM TO MARKET ROAD AT BRGY. LAMPAYA</t>
  </si>
  <si>
    <t>REPAIR OF STAGE &amp; BASKETBALL COURT (FLOORING) at Brgy. Chitongco, Mondragon N. Samar</t>
  </si>
  <si>
    <t>PURCHASE OF POST HARVEST AND FARM MACHINERY EQUIPMENT</t>
  </si>
  <si>
    <t>RFQ-DVO-PR.NO. 2002418 CAT. 10 COMPUTER EQUIPMENT AND ACCESSORIES</t>
  </si>
  <si>
    <t>RFQ-DVO-PR.NO. 1911195 CAT. 3 AUDIO- EQUIPMENT</t>
  </si>
  <si>
    <t>CONSTRUCTION OF MULTI-PURPOSE COVERED PAVEMENT</t>
  </si>
  <si>
    <t>Purchase of cement</t>
  </si>
  <si>
    <t>RFQ-DVO-PR.NO. 2002088 CAT. 10 COMPUTER EQUIPMENT &amp; ACCESSORIES</t>
  </si>
  <si>
    <t>REHABILITATION OF BITUEN-LACUB ROAD</t>
  </si>
  <si>
    <t>RFQ-DVO-PR.NO. 2006175 CAT. 49 PRINTED FORMS AND PRINTING SERVICES</t>
  </si>
  <si>
    <t>CONSTRUCTION OF HEALTH CENTER</t>
  </si>
  <si>
    <t>RFQ-DVO-PR.NO. 2006131 CAT. 80 FUEL, OIL, LUBRICANTS AND SERVICING</t>
  </si>
  <si>
    <t>RFQ-DVO-PR.NO. 2002421 CAT. 10 COMPUTER EQUIPMENT AND ACCESSORIES</t>
  </si>
  <si>
    <t>RFQ-DVO-PR.NO. 2002389 CAT. 10 COMPUTER EQUIPMENT AND ACCESSORIES</t>
  </si>
  <si>
    <t>SUPPLY AND DELIVERY OF CONSTRUCTION MATERIALS FOR BARANGAY STREETLIGHTS, PISAAN, SAN FRANCISCO, AGUSAN DEL SUR</t>
  </si>
  <si>
    <t>RFQ-DVO-PR.NO. 2001195 CAT. 10 COMPUTER EQUIPMENT AND ACCESSORIES</t>
  </si>
  <si>
    <t>RFQ-DVO-PR.NO. 2002150 CAT. 10 COMPUTER EQUIPMENT AND ACCESSORIES</t>
  </si>
  <si>
    <t>RFQ-DVO-PR.NO. 2002293 NO CATEGORY</t>
  </si>
  <si>
    <t>Procurement of School and Office Supplies</t>
  </si>
  <si>
    <t>RFQ-DVO-PR.NO. 2002081 CAT. 62 VEHICLES AND ACCESSORIES</t>
  </si>
  <si>
    <t>MATERIALS FOR THE IMPROVEMENT OF EVACUATION CENTER</t>
  </si>
  <si>
    <t>construction of pathway</t>
  </si>
  <si>
    <t>RFQ-DVO-PR.NO. 2002396 CAT. 62 VEHICLES AND ACCESSORIES</t>
  </si>
  <si>
    <t>RFQ-DVO-PR.NO. 2002388 CAT. 10 COMPUTER EQUIPMENT AND ACCESSORIES</t>
  </si>
  <si>
    <t>RFQ-DVO-PR.NO. 2002458 CAT. 62 VEHICLE AND ACCESSORIES</t>
  </si>
  <si>
    <t>RFQ-DVO-PR.NO. 2002339 CAT. 86 OFFICE EQUIPMENT</t>
  </si>
  <si>
    <t>RFQ-DVO-PR.NO. 2002159 CAT. 10 COMPUTER RQUIPMENT AND ACCESSORIES</t>
  </si>
  <si>
    <t>RFQ-DVO-PR.NO. 2002287 CAT. 26 FERTILIZERS, FUNGICIDE AND INSECTICIDE</t>
  </si>
  <si>
    <t>RFQ-DVO-PR.NO. 2002372 CAT. 52 RADIO COMMUNICATIONS EQUIPMENT</t>
  </si>
  <si>
    <t>MATERIALS FOR THE RIPRAPPING OF CREEK BETWEEN LOT NO. 3511 AND 3514, TS 203</t>
  </si>
  <si>
    <t>RFQ-DVO-PR.NO. 2002306 CAT. FURNITURE AND FIXTURES</t>
  </si>
  <si>
    <t>Improvement of Street Lights</t>
  </si>
  <si>
    <t>Concreting of Barangay Road &amp; Consruction of Sidewalk at Sitio Ibaba Banaba East, Batangas City</t>
  </si>
  <si>
    <t>Supply and Delivery of Trash Bins</t>
  </si>
  <si>
    <t>Outside Labor (w/ necessary tools/equipment) &amp; Materials for the Fabrication &amp; Mounting/ Installation of new OPD Signage (panaflex/Sticker)</t>
  </si>
  <si>
    <t>REQUEST FOR QUOTATION FOR THE  COMPLETION OF ISOLATION FACILITIES (ROOFING/FLOORING/PARTIION)</t>
  </si>
  <si>
    <t>HHSSG-RMHHC-20-2104-30026</t>
  </si>
  <si>
    <t>Purchase of Construction Materials &amp; Supplies 2020-06-0224</t>
  </si>
  <si>
    <t>PREVENTIVE MAINTENANCE OF 1 UNIT ELEVATOR NIPPON BRAND, LOCATED AT 3-STOREY PAYWARD BUILDING</t>
  </si>
  <si>
    <t>Plastic Chair with back rest, stackable,</t>
  </si>
  <si>
    <t>Outside Labor (with necessary tools/equipment and materials for fabrication including installation/ mounting of tempered glass window with sliding window and fixed grills for BMC Cashier office at 8 S</t>
  </si>
  <si>
    <t>Purchase Request of Hospital Equipments for Toledo City Hospital (DOH Standard)</t>
  </si>
  <si>
    <t>Purchase of Fuel 2020-06-0210</t>
  </si>
  <si>
    <t>Purchase of Garments 2020-06-0218</t>
  </si>
  <si>
    <t>Purchase of Office Supplies 2020-06-0207</t>
  </si>
  <si>
    <t>MATERIALS FOR THE CONSTRUCTION OF PUBLIC UTILITY TERMINAL</t>
  </si>
  <si>
    <t>Test for COVID-19 (SARS-Cov-2 IgG)</t>
  </si>
  <si>
    <t>Purchase Office Supplies</t>
  </si>
  <si>
    <t>Procurement of Goods</t>
  </si>
  <si>
    <t>Street Cementing (Phase II)</t>
  </si>
  <si>
    <t>Purchase of Electrical Supplies</t>
  </si>
  <si>
    <t>Purchase Request of Medical Equipments for Toledo City Hospital (DOH Standard)</t>
  </si>
  <si>
    <t>CONSTRUCTION OF FLOOD AND EROSION CONTROL PROJECT AT THE BACK OF PUBLIC MARKET, BRGY. PALDIT, SISON, PANGASINAN</t>
  </si>
  <si>
    <t>PURCHASE OF ANTI VIRUS FOR SB</t>
  </si>
  <si>
    <t>Manual Resuscitator Bag</t>
  </si>
  <si>
    <t>Supply and Delivery of Rice and other food essentials in response to BAYANIHAN ACT for COVID PANDEMIC situation of the Island Municipality of Tingloy, Batangas</t>
  </si>
  <si>
    <t>RFQ - Assorted Diesel/Oil for use for All Service Vehicles and Equipments (Maintenance Section)</t>
  </si>
  <si>
    <t>Suction liner,</t>
  </si>
  <si>
    <t>Cefixime 200mg capsule</t>
  </si>
  <si>
    <t>Procurement of Motorcycle for BAC &amp; Supply Office Use</t>
  </si>
  <si>
    <t>RFQ NO. 20-0584 NP-SVP - Procurement of Service Provider for the Maintenance Check-up, Replacement of Defective Compressor and Other Defective Parts of Mitsubishi Montero 2013</t>
  </si>
  <si>
    <t>Renovation and Ground Improvement of Schools Division Office</t>
  </si>
  <si>
    <t>CIVIL WORKS FOR THE CONCRETING OF COASTAL ROAD BRGY. STO NIÑO TO BRGY. CALOC-AN (CONTINUATION), MAGALLANES, AGUSAN DEL NORTE</t>
  </si>
  <si>
    <t>PROPOSAL FOR (LOT 1) FOOD &amp; ACCOMMODATION IN ALBAY, (LOT 2) FOOD &amp; ACCOMMODATION IN CAMARINES SUR, (LOT 3) FOOD &amp; ACCOMMODATION IN CAMARINES NORTE, (LOT 4) FOOD &amp; ACCOMMODATION IN SORSOGON, (LOT 5) FO</t>
  </si>
  <si>
    <t>Supply and Delivery of Advocacy Jacket, Longsleeves and Washable Face Masks Under FishCORAL Project</t>
  </si>
  <si>
    <t>Supply &amp; Delivery  of Food Stuff</t>
  </si>
  <si>
    <t>20 pcs Oxygen Gauge</t>
  </si>
  <si>
    <t>50 pcs Flowmeter</t>
  </si>
  <si>
    <t>Procurement of IT Equipment for RDS &amp; OARDC Use</t>
  </si>
  <si>
    <t>Purchase of Electrical Supplies 2020-05-0186</t>
  </si>
  <si>
    <t>HHSSG-RMBLDG-20-1205-30029</t>
  </si>
  <si>
    <t>SUPPLY AND DELIVERY OF  WRIST WATCH INCENTIVE FOR RETIREE (LOT2)</t>
  </si>
  <si>
    <t>Procurement of Various Housekeeping Supplies-06-011(E)PTO</t>
  </si>
  <si>
    <t>RFQ for RPMS Rollout</t>
  </si>
  <si>
    <t>MONITORING OF 14 BARANGAYS</t>
  </si>
  <si>
    <t>Supply &amp; Delivery of Rescue Equipment and Accessories</t>
  </si>
  <si>
    <t>RFQ NO. 20-0585 NP-SVP - Procurement of Service Provider for Kilometer Check-up, Maintenance Check-up of Air-conditioning and Check/Replace Speedometer Cable of Mitsubishi Adventure 2012</t>
  </si>
  <si>
    <t>procurement of office supplies/deped 1</t>
  </si>
  <si>
    <t>Procurement of Various Office Supplies-06-010(E)PTO</t>
  </si>
  <si>
    <t>500 pack Disposable Nurse Cap, 100's/pack</t>
  </si>
  <si>
    <t>SUPPLY OF GASOLINE FOR SANGGUNIANG BAYAN OFFICE AND VICE MAYOR"S OFFICE 3RD QTR CY 2020</t>
  </si>
  <si>
    <t>PROPOSAL FOR THE SUPPLY AND DELIVERY OF                      LOT 1- REGULAR MILLED RICE AND LOT 2- OTHER SUPPLIES FOR USE IN THE IMPLEMENTATION OF ENHANCED KADIWA NI ANI AT KITA</t>
  </si>
  <si>
    <t>Repair/Maintenance of Revetment along Porac River, San Isidro, Floridablanca, Pampanga</t>
  </si>
  <si>
    <t>Rehabilitation of Barangay Outpost and extension of VAWC Desk</t>
  </si>
  <si>
    <t>Procurement of Various IT Equipments-06-009(C)PPDO</t>
  </si>
  <si>
    <t>SECOND QUARTER CONFERENCE OF CALATRAVANHONG BANTOANON AG ATI OFFICERS ON JUNE 26, 2020(FRIDAY) AT 2:00 PM</t>
  </si>
  <si>
    <t>Rent to Own for Three (3) months Laptop with License</t>
  </si>
  <si>
    <t>Purchase of Materials for the Regravelling of KABSAKA Road, Brgy. Burirao- Binabaan Tirador, Lambunao, Iloilo</t>
  </si>
  <si>
    <t>Purchase of Standing Wreath for the Late Resident of the municipalty</t>
  </si>
  <si>
    <t>Supply and Delivery of Construction Materials for the Improvement of Water System at Brgy Cogon, Talicud Island, Kaputian Dist., IGaCoS under PR No. 003</t>
  </si>
  <si>
    <t>Procurement of Various Housekeeping Supplies-06-007(I)COA</t>
  </si>
  <si>
    <t>PURCHASE OF AVR FOR MCR</t>
  </si>
  <si>
    <t>Supply and Delivery of Office Equipment - ITB 023B-2020  GQ</t>
  </si>
  <si>
    <t>Labor and Materials for the Installation of Solar Street Lighting System (Phase II) at Barangay San Agustin, City of San Fernando, Pampanga</t>
  </si>
  <si>
    <t>Purchase of Electrical Supplies 2020-05-0181</t>
  </si>
  <si>
    <t>Supply &amp; Delivery of Construction Materials for Fabrication of 4 Modular Tents</t>
  </si>
  <si>
    <t>Purchase of 8,000 Liters Diesel Fuel</t>
  </si>
  <si>
    <t>Procurement of Office Supplies for the 3rd Quarter of 2020</t>
  </si>
  <si>
    <t>Supply, delivery and installation of various parts for Kone Elevator as per PR 20-05-0260</t>
  </si>
  <si>
    <t>Procurement of Furniture-06-028(P)PSWDO</t>
  </si>
  <si>
    <t>PROPOSED GREENING AND BEAUTIFICATION OF LETRE CENTER ISLAND, SIDEWALK AND EASEMENT, LOCATED AT BRGY. TONSUYA, CITY OF MALABON</t>
  </si>
  <si>
    <t>1,100 ltrs Diesel Fuel</t>
  </si>
  <si>
    <t>PURCHASE OF OFFICE EQUIPMENT AND SUPPLIES</t>
  </si>
  <si>
    <t>Purchase &amp; delivery of Fertilizers for FSTP Phase 2 (Corn)</t>
  </si>
  <si>
    <t>Construction of Building to Accommodate COVID 19 Patients at Brgy. Lydia (Phase 02)</t>
  </si>
  <si>
    <t>invitation to bid</t>
  </si>
  <si>
    <t>Procurement of Various Electrical Supplies-06-358(O)PEO</t>
  </si>
  <si>
    <t>Supply and delivery of various motor oils &amp; lubricants for farm tractor &amp; brush cutter at DA-RIARC, Victoria, Oriental Mindoro</t>
  </si>
  <si>
    <t>REQUEST FOR QUOTATION - Purchase and Delivery of Various Office Supplies for NPS Region V</t>
  </si>
  <si>
    <t>Supply and Delivery of Construction Materials - ITB 024B-2020 GQ</t>
  </si>
  <si>
    <t>ACQUISITION OF RICE COOKER AND PUSH CART FOR MESS UNIT</t>
  </si>
  <si>
    <t>Concreting of Barangay road</t>
  </si>
  <si>
    <t>Procurement of Various Electrical Supplies-06-353(O)PEO</t>
  </si>
  <si>
    <t>Procurement of 1 unit 4WD Double Cab / Multi-Purpose Vehicle, Isabela, Neg. Occ.</t>
  </si>
  <si>
    <t>GROCERY ITEMS</t>
  </si>
  <si>
    <t>PROCUREMENT OF WOODEN ARMCHAIRS FOR BCC, BUENAVISTA, BOHOL</t>
  </si>
  <si>
    <t>SUPPLY AND DELIVERY OF PRODUCTION METER, 2" (TAILPIECE TYPE)</t>
  </si>
  <si>
    <t>Procurement of fuel, oil &amp; lubricants</t>
  </si>
  <si>
    <t>Supply and Delivery of Rackmount Servers</t>
  </si>
  <si>
    <t>Isosorbide Dinitrate 1mg/ml, 10ml inj. amp</t>
  </si>
  <si>
    <t>Procurement of Various Construction Supplies and Materials-06-356(O)PEO</t>
  </si>
  <si>
    <t>SUPPLY AND DELIVERY OF VARIOUS GI FITTINGS FOR POTABLE WATER</t>
  </si>
  <si>
    <t>PURCHASE OF CONSTRUCTION MATERIALS</t>
  </si>
  <si>
    <t>Construction/Rehabilitation of Water Supply/Septage and  Sewerage/Rain Water Collectors – Rain Water Collectors  in Public Facilities  2nd District Pampanga</t>
  </si>
  <si>
    <t>To be used at RHU I and RHU II for Suspected Dengue Patient</t>
  </si>
  <si>
    <t>Supply/Delivery of  Rice for Provision of Support to Auxilliary Army Group  (PR# 20-06-0604)</t>
  </si>
  <si>
    <t>Procurement of Various Construction Supplies and Materials-06-355(O)PEO</t>
  </si>
  <si>
    <t>Supply and Delivery of Ductless 1.5 HP split type inverter aircon with service warranty, installation and free cleaning</t>
  </si>
  <si>
    <t>IT CONSUMABLES</t>
  </si>
  <si>
    <t>Water Service Connection Materials / Fittings</t>
  </si>
  <si>
    <t>Procurement of Various Construction Supplies and Materials-06-002-PEO</t>
  </si>
  <si>
    <t>PURCHASE OF ADDITIONAL PUMP SUPPORT FOR TUBOD SPRING</t>
  </si>
  <si>
    <t>Maintenance and Calibration of Laboratory Equipments and Instruments</t>
  </si>
  <si>
    <t>Procurement of 1 unit Dump Truck, Isabela, Neg. Occ.</t>
  </si>
  <si>
    <t>Procurement of Construction Materials and Supplies for the Concreting of Sitio Road in Sitio Pulo, Brgy. Pantalan, President Roxas, Capiz</t>
  </si>
  <si>
    <t>Rental of PRINTER, A3 Wi-Fi Duplex, All-in-One Ink Tank per RFQ-148-2020-SMD</t>
  </si>
  <si>
    <t>SUPPLY DELIVERY AND INSTALLATION INCLUDING COMMISSIONING &amp; WARRANTY OF SOLAR STREETLIGHTS</t>
  </si>
  <si>
    <t>PURCHASE OF MEDICAL SUPPLIES</t>
  </si>
  <si>
    <t>ESLF Equipment</t>
  </si>
  <si>
    <t>Purchase of Construction Materials for Renovation of Day Care Center at Gil Sanchez, Lab. ZN:</t>
  </si>
  <si>
    <t>Procurement of Various Spare Parts-06-348(O)PEO</t>
  </si>
  <si>
    <t>Concreting of Farm to Market Road with Slope Protection at Sitio 4, Brgy. Tabucbuc</t>
  </si>
  <si>
    <t>RFQ NO. 20-0586 NP-SVP - Procurement of Service Provider for the Maintenance Check-up of Air-conditioning of Mitsubishi Montero 2013 UMQ 605</t>
  </si>
  <si>
    <t>Procurement of Air condition for the MMSU-CIT Bindery Project</t>
  </si>
  <si>
    <t>Procurement of Povidone Iodine</t>
  </si>
  <si>
    <t>Supply and Delivery of Construction Materials for the Extension of School Multi-Purpose Hall of Sinamar E/S, Sinamar, Roxas, Isabela</t>
  </si>
  <si>
    <t>MDH-FOOD STUFF</t>
  </si>
  <si>
    <t>RFQ No.: 2020-06-0520 Catering with Free Venue for the conduct of "Orientation for Local Government Units (LGUs) in the implementation of Social Amelioration Program (SAP) through the Livelihood Assis</t>
  </si>
  <si>
    <t>PURCHASE OF OFFICE SUPPLIES</t>
  </si>
  <si>
    <t>PURCHASE OF ADDITIONAL DISTRIBUTION PIPES FOR STACA, COMPOSTELA AND LEGASPI</t>
  </si>
  <si>
    <t>Weaving Looms, 50" x 50" and warping</t>
  </si>
  <si>
    <t>20M0028 - Purchase of Materials for use in Crack/joint sealant along National Roads &amp; Bridges, within the district</t>
  </si>
  <si>
    <t>Supply and Delivery of Laptop</t>
  </si>
  <si>
    <t>CONSTRUCTION OF QUARANTINE FACILITY (LIGHT MATERIALS)</t>
  </si>
  <si>
    <t>Supply &amp; Delivery of Janitorial Supplies</t>
  </si>
  <si>
    <t>Supply and Delivery of Medical Supplies</t>
  </si>
  <si>
    <t>PR NO. 1430 Repair of Comfort Rooms</t>
  </si>
  <si>
    <t>EXPANSION OF DRAINAGE CANAL SYSTEM ( LAPU- LAPU STREET, QUIRINO &amp; HARADA BUTAI, PADADA, DAVAO DEL SUR )</t>
  </si>
  <si>
    <t>For Administration Building Comfort Rooms</t>
  </si>
  <si>
    <t>Procurement of Various Spare Parts-06-347(A)PGO</t>
  </si>
  <si>
    <t>Construction of 2 Units Picnic Shed and Boardwalk at Katunggan Park</t>
  </si>
  <si>
    <t>Supply and Delivery of Office Supplies and Consumables per RFQ-133-2020-SMD</t>
  </si>
  <si>
    <t>printing of signage</t>
  </si>
  <si>
    <t>Procurement of Various Spare Parts-06-346(A)PGO</t>
  </si>
  <si>
    <t>Procurement of Meals and Snacks</t>
  </si>
  <si>
    <t>Purchase of Office Supplies - Treasury (2nd Quarter)</t>
  </si>
  <si>
    <t>RFQ 2020 - 06 - 024 Boltless 5 Layers Filling Rack</t>
  </si>
  <si>
    <t>Purchase of construction materials.</t>
  </si>
  <si>
    <t>SUPPLY OF RISO MACHINE</t>
  </si>
  <si>
    <t>Procurement of Two (2) Units New Elevator of AFP Health Service COmmand</t>
  </si>
  <si>
    <t>Repair and Maintenace of Patient Transport Vehicle HYUNDAI STAREX 234</t>
  </si>
  <si>
    <t>Publication of Municipal Ordinance No. 80,81,82,83 &amp; 84 Series 2020</t>
  </si>
  <si>
    <t>PROCUREMENT OF T-SHIRT WITH EMBROIDERY FOR THE JULY 2020 LABOR FORCE SURVEY (LFS)  / 2020 ANNUAL POVERTY INDICATORS SURVEY (APIS)</t>
  </si>
  <si>
    <t>Supply &amp; Delivery of Concrete Cutter</t>
  </si>
  <si>
    <t>(PGSO) REQUEST FOR QUOTATION (RFQ) For the Procurement of Construction Materials (III) (Improvement of LMET Guard Post) For the Provincial General Services Office--200,000.00</t>
  </si>
  <si>
    <t>Supply and Delivery of Office Supplies and Consumables - MISO</t>
  </si>
  <si>
    <t>Request for qoutation PR No. 0951-20</t>
  </si>
  <si>
    <t>Procurement of Construction Materials and Supplies for the Construction of Core Road in Brgy. Cubay, President Roxas, Capiz</t>
  </si>
  <si>
    <t>Procurement of Various Spare Parts-06-348(A)PGO</t>
  </si>
  <si>
    <t>Nursery Materials and Supplies</t>
  </si>
  <si>
    <t>For use in the operation of City Nursery</t>
  </si>
  <si>
    <t>Improvement of Multipurpose - Brgy, Tapul</t>
  </si>
  <si>
    <t>Souvenir Shirts</t>
  </si>
  <si>
    <t>Procurement of 1 unit Manlift Truck, Isabela, Neg. Occ.</t>
  </si>
  <si>
    <t>Procurement of MOOE Supplies of Mahayag ES 1st Quarter</t>
  </si>
  <si>
    <t>Purchase of CCTV</t>
  </si>
  <si>
    <t>Supply and Delivery of Agricultural Supplies and Equipment - ITB 026B-2020 GQ</t>
  </si>
  <si>
    <t>Procurement of Various Spare Parts-06-349(A)PGO</t>
  </si>
  <si>
    <t>Request for qoutation PR No. 0938-20</t>
  </si>
  <si>
    <t>PURCHASE OF MATERIALS FOR PROPOSED REPAIR OF INGHOY RESERVOIR AND PIPELINES</t>
  </si>
  <si>
    <t>Construction of Sanitary Landfill, Category 1</t>
  </si>
  <si>
    <t>P.R. # 20-06-056 Air-con 1.0HP, Split type with Inverter For use of Quality Assurance Section</t>
  </si>
  <si>
    <t>HANDWASHING FACILITY</t>
  </si>
  <si>
    <t>Electric Trike</t>
  </si>
  <si>
    <t>PR NO. 1421 Construction of Elevated Concrete Reservoir</t>
  </si>
  <si>
    <t>Supply and delivery of office equipment for DTI R02</t>
  </si>
  <si>
    <t>Purchase &amp; delivery of feeds for Expanded Livestock &amp; Poultry Livelihood Project for Covid-19 Response</t>
  </si>
  <si>
    <t>For Landscaping and Garden Beautification</t>
  </si>
  <si>
    <t>RFQ No. 2006-311 Proc. of Goods (Tools for Transportation and MotorpoolUse)(Repost)</t>
  </si>
  <si>
    <t>BLGU-STAFE-AL-G-01-2020 PURCHASE/INSTALLATION SOLAR STREET LIGHT BRGY. STA. FE, ABUYOG, LEYTE</t>
  </si>
  <si>
    <t>Purchase of Office Supplies - MPDO 1st &amp; 2nd quarter</t>
  </si>
  <si>
    <t>Procurement of Various Housekeeping Supplies-06-342(A)PGO</t>
  </si>
  <si>
    <t>Construction of Line Canal, Barangay 5</t>
  </si>
  <si>
    <t>Purchase of medicine of Barangay Sta. Monica San Luis Batangas</t>
  </si>
  <si>
    <t>RFQ No.: 2020-06-0509 LGU Orientation in the conduct of  On Demand Application (ODA) and Validation on August 17-18, 2020 in Iloilo City</t>
  </si>
  <si>
    <t>Procurement of Various Spare Parts-06-355(A)PGO</t>
  </si>
  <si>
    <t>Request for qoutation PR No. 0942-20</t>
  </si>
  <si>
    <t>SUPPLY AND DELIVERY OF COLD MIX ASPHALT</t>
  </si>
  <si>
    <t>20GIB0035: Procurement of Security Services for Eastern Samar District Engineering Office (ESDEO) Borongan City</t>
  </si>
  <si>
    <t>lot a-provision of office and operation supplies that facilitates a safe and sanitary teaching and learning environment</t>
  </si>
  <si>
    <t>Concreting of Roads at So. Mother Rita, Brgy. La Paz  Bais City(N-146-2020)</t>
  </si>
  <si>
    <t>Supply and Delivery of 15 pcs. Automatic Touchless Alcohol Dispenser.</t>
  </si>
  <si>
    <t>Supply and Delivery of Agricultural Supplies &amp; Equipment - ITB 027B-2020 GQ</t>
  </si>
  <si>
    <t>Purchase of EPSON Ink of EPSONSURE Color T7270 (Plotter) to be used in the Office of the Planning and Design Section</t>
  </si>
  <si>
    <t>Supply and Delivery of 1 unit Rostrum</t>
  </si>
  <si>
    <t>Supply and Delivery of STC</t>
  </si>
  <si>
    <t>Installation of Water Tank</t>
  </si>
  <si>
    <t>Request for qoutation PR No. 0943-20</t>
  </si>
  <si>
    <t>Supply and Delivery of Toner Cartridge</t>
  </si>
  <si>
    <t>For Office Use</t>
  </si>
  <si>
    <t>Request for qoutation PR No. 0939-20</t>
  </si>
  <si>
    <t>Purchase of 2 lots 16 Channel CCTV Systems &amp; 3 lots 8 Channel CCTV Systems for use of the City Government of Laoag</t>
  </si>
  <si>
    <t>carbonless print paper</t>
  </si>
  <si>
    <t>Purchase of medicine for Barangay Banoyo San Luis Batangas</t>
  </si>
  <si>
    <t>RFQ for the Procurement of Supplies for Building Reapir and Maintenance</t>
  </si>
  <si>
    <t>(DDH) 2nd REQUEST FOR QUOTATION (RFQ)  For the Procurement of Hospital Equipment</t>
  </si>
  <si>
    <t>Procurement of Diesel Fuel -06-359(A)PGO</t>
  </si>
  <si>
    <t>PURCHASE OF ANTI-RABIES VACCINE (ARV) TO CLIENTS OF THE MUNICIPALITY OF BORBON</t>
  </si>
  <si>
    <t>Procurement of Janitorial Supplies for the 3rd Quarter of 2020</t>
  </si>
  <si>
    <t>Supply and Delivery of Office Supplies and Consumables - CPDO</t>
  </si>
  <si>
    <t>Procurement of Gasoline Fuel-06-358(A)PGO</t>
  </si>
  <si>
    <t>6 Set Tire 7.50 x 16, 14 ply, CT 163, mixed lug with inner tube and flap</t>
  </si>
  <si>
    <t>CONTRACT OF SERVICES FOR THE UPDATING OF PROTECTED AREA MANAGEMENT PLAN OF PALAUI ISLAND PROTECTED LANDSCAPE AND SEASCAPE (PIPLS)</t>
  </si>
  <si>
    <t>seedlings</t>
  </si>
  <si>
    <t>Supply and Delivery of Laboratory Reagents - ITB 028B-2020 GQ</t>
  </si>
  <si>
    <t>Procurement of construction materials for the construction of Multi-purpose building</t>
  </si>
  <si>
    <t>PR NO. 1530 Production of Flyers</t>
  </si>
  <si>
    <t>PROCUREMENT OF MONO BLOCK CHAIR</t>
  </si>
  <si>
    <t>RFQ No.: 2020-06-0512 For Social Pension Information Campaign in July and August 2020</t>
  </si>
  <si>
    <t>lot c-provision of cleaning equipment that facilitates a safe and sanitary teaching and learning environment</t>
  </si>
  <si>
    <t>Installation of P.E Pipes @ Sitio Upper Meocan</t>
  </si>
  <si>
    <t>PROCUREMENT OF SERVICE VEHICLE</t>
  </si>
  <si>
    <t>UPGRADING OF FIRE DETECTION ALARM SYSTEM</t>
  </si>
  <si>
    <t>Purchase of medicine for Barangay Abiacao San Luis Batangas</t>
  </si>
  <si>
    <t>THE SUPPLY AND DELIVERY OF OFFICE AND OTHER SUPPLIES</t>
  </si>
  <si>
    <t>COVID 19 MEDICAL SUPPLIES</t>
  </si>
  <si>
    <t>Purchase of Toner TN220 Black for Ineo 281 + Printer for use in the Office of the Planning and Design Section</t>
  </si>
  <si>
    <t>For Cashier's Office Use</t>
  </si>
  <si>
    <t>Diesel Fuel(SBO)</t>
  </si>
  <si>
    <t>Procurement of Various Electrical Supplies-06-357(O)PEO</t>
  </si>
  <si>
    <t>Request for qoutation PR No. 0659-20</t>
  </si>
  <si>
    <t>For use in operation of Backhoe 03, DT 02 &amp; 08, RG-05 and DT-02 assigned at City Engineer's Office.</t>
  </si>
  <si>
    <t>Alcohol (National Immunization Program Outbreak Campaign)</t>
  </si>
  <si>
    <t>P.R. # 20-06-058 For the repair and maintenance of national roads and bridges within Caloocan City and Valenzuela City, C.Y. 2020 Routine Maintenance 2nd Quarter (April to June)</t>
  </si>
  <si>
    <t>Supply and Delivery of Packaging Supplies and Materials</t>
  </si>
  <si>
    <t>Purchase of Equipment Logbook to be used of Heavy Equipment and Service Vehicle of DPWH Bukidnon 2nd DEO for CY 2020</t>
  </si>
  <si>
    <t>20GIE0014 - Purchase of Laboratory Apparatus at Quality Assurance Section DPWH, Leyte Third Engineering District Office, Villaba, Leyte</t>
  </si>
  <si>
    <t>Construction of Multi-purpose Bldg. @ sitio side B</t>
  </si>
  <si>
    <t>Supply and Delivery of Office Supplies for Provincial Auditor's Office</t>
  </si>
  <si>
    <t>R.F.Q. (P.R. No.) 20-06-89 - Joint Sealer (25 kgs/pack)</t>
  </si>
  <si>
    <t>REQUEST FOR QUOTATION (RFQ)  For the Procurement of One (1) unit Pharmacy Biomedical Ref</t>
  </si>
  <si>
    <t xml:space="preserve">Request for Quotation for the Provision of Printing services to be used for the conduct of RCM Briefing Batch 1 and Batch 2 on September 29, 2020 at Tagoloan, Misamis Oriental and October 29, 2020 at </t>
  </si>
  <si>
    <t>CONSTRUCTION OF APARTMENT TYPE NICHES</t>
  </si>
  <si>
    <t>Supply and Delivery of Construction Materials - ITB 029B-2020 GQ</t>
  </si>
  <si>
    <t>Agricultural Materials &amp; Supplies</t>
  </si>
  <si>
    <t>RFQ 05-0401-20 ADMIN SUPPLY AND DELIVERY OF AIRCONDITIONING</t>
  </si>
  <si>
    <t>Supply and Delivery of Meals and Snacks for Dengue Control and Prevention Program</t>
  </si>
  <si>
    <t>purchase of construction materials for repair of tanod outpost SPPVS</t>
  </si>
  <si>
    <t>Supply, Delivery, Installation &amp; Commissioning of Brand New Digital Radiography/Fluoroscopy X-ray Machine</t>
  </si>
  <si>
    <t>Supply and Delivery of 100,000 Gallon Liquid Disinfectant</t>
  </si>
  <si>
    <t>FOR REPAIR AND MAINTENANCE OF MUNICIPAL HEAVY EQUIPMENT (WHEEL LOADER HYUNDAI HL-757-9S)</t>
  </si>
  <si>
    <t>IMPROVEMENT OF THE MUNICIPAL CIVIL REGISTRAR'S OFFICE OF LGU DUMALNEG</t>
  </si>
  <si>
    <t>Request for qoutation PR No. 0826-20</t>
  </si>
  <si>
    <t>RFQ Altertaive Learning System IT Equipment PR #2020-107</t>
  </si>
  <si>
    <t>Procurement of Linens Requirement of VLMC, AFPHSC</t>
  </si>
  <si>
    <t>Purchase of Furniture &amp; Fixtures of Mayor's Office</t>
  </si>
  <si>
    <t>Supply of various construction materials for the Expansion of Drainage Canal ( U-Type Drainage System )</t>
  </si>
  <si>
    <t>RFQ No.: 2020-06-0515 Printing of Forms for On Demand Application and Validation 2020</t>
  </si>
  <si>
    <t>PROCUREMENT OF IT EQUIPMENT (PB-LAP-2020-071)</t>
  </si>
  <si>
    <t>Tobacco Farmers/Cooperatives' Hybrid Corn Seed Subsidy for Alternative Farming Livelihood Project</t>
  </si>
  <si>
    <t>Supply and Delivery of Window Blinds - VP ACAD</t>
  </si>
  <si>
    <t>Supply and Delivery of Construction Materials - ITB 031B-2020 GQ</t>
  </si>
  <si>
    <t>Purchase of Vehicle Parts for the Repair &amp; Maintenance of Government Vehicle</t>
  </si>
  <si>
    <t>Supply and Delivery of Laboratory Supplies</t>
  </si>
  <si>
    <t>Rubber Boots (Personal Protective Equipment for Birthing Facilities)</t>
  </si>
  <si>
    <t>RFQ No.: 2020-06-0516 Printing of Initial List of Poor Household</t>
  </si>
  <si>
    <t>Improvement of Brgy. Road, Brgy. Cambagahan Bais City(N-174-2020)</t>
  </si>
  <si>
    <t>ROAD CONCRETING AT BARANGAY MALIPAMPANG</t>
  </si>
  <si>
    <t>office supplies</t>
  </si>
  <si>
    <t>Procurement of materials for the improvement of municipal building, People's hall and Slaughterhouse</t>
  </si>
  <si>
    <t>1 unit digital leak detector</t>
  </si>
  <si>
    <t>Purchase of Vehicle Parts for the Repair &amp; Maintenance of Garbage Truck 1</t>
  </si>
  <si>
    <t>IMPROVEMENT OF TRIBAL HUT COMFORT ROOM OF LGU DUMALNEG</t>
  </si>
  <si>
    <t>Supply and Delivery of Improvement/Maintenance of Drainage Canal at Tubigon Poblacion Public Market</t>
  </si>
  <si>
    <t>Acquisition of Rural Health Unit Service Van</t>
  </si>
  <si>
    <t>Supply and delivery of various Construction Materials to be used for the pavement markings along Manila North Road,Calumpit Section,Calumpit Bulacan</t>
  </si>
  <si>
    <t>ROAD CONCRETING AT BARANGAY MATAAS NA PARANG</t>
  </si>
  <si>
    <t>Concrete Perimeter Fence of Brgy Hall</t>
  </si>
  <si>
    <t>SUPPLY OF LABOR AND MATERIALS FOR THE DRILLING OF ONE (1) UNIT PRODUCTION WELL LOCATED AT VILLA CZARINA SUBDIVISION, BARANGAY CUAYAN, ANGELES CITY</t>
  </si>
  <si>
    <t>SSS Bacolod Branch Diesel Fuel</t>
  </si>
  <si>
    <t>Purchase of Livestocks (Swine) and Feeds under ARBold Project</t>
  </si>
  <si>
    <t>RFQ for the subscription of Newspaper</t>
  </si>
  <si>
    <t>SUPPLY, INSTALLATION AND COMMISSIONING OF MATERIALS, EQUIPMENT, PUMPING UNIT AND DISCHARGE LINE FOR CUTUD PUMPING STATION, BARANGAY CUTUD, ANGELES CITY</t>
  </si>
  <si>
    <t>ROAD CONCRETING AT BARANGAY PASONG BANGKAL</t>
  </si>
  <si>
    <t>SUPPLY, DELIVERY AND INSTALLATION OF CCTV</t>
  </si>
  <si>
    <t>Concreting of Road From the Evacuation Center Down to the End Potion after Gilbert Laxina's Residence Bais City(N-172-2020)</t>
  </si>
  <si>
    <t>Security Services for the Provincial Government of Ilocos Sur</t>
  </si>
  <si>
    <t>PROCUREMENT OF ZOOLOGICAL MEDICINES FOR LIVESTOCK</t>
  </si>
  <si>
    <t>Supply &amp; Delivery of various Medicine, Medical, Dental &amp; Laboratory  Supplies for RHU-I,  RHU-II and PGH, LGU-Paniqui, Tarlac</t>
  </si>
  <si>
    <t>Provisions for fabrication of table divider, faceshield, and face mask</t>
  </si>
  <si>
    <t>Chlorine Granules (DOH-DCHD re: COVID-19)</t>
  </si>
  <si>
    <t>PURCHASE AND DELIVERY OF LED BULB 15WATTS</t>
  </si>
  <si>
    <t>RFQ - Notarization Services for MOA and DOD</t>
  </si>
  <si>
    <t>ROAD CONCRETING AT BARANGAY MAKAPILAPIL</t>
  </si>
  <si>
    <t>THE SUPPLY AND DELIVERY OF CONSTRUCTION MATERIALS AND SUPPLIES FOR THE CONSTRUCTION OF BAHAY PAG-ASA</t>
  </si>
  <si>
    <t>SUPPLY AND DELIVERY OF ONE (1) UNIT BRAND NEW DUMP TRUCK</t>
  </si>
  <si>
    <t>Transfer of Aircon of UPV Humanities ( RFQ 2020-4076)</t>
  </si>
  <si>
    <t>Supply &amp; Delivery of Tires and Battery</t>
  </si>
  <si>
    <t>RFQ-L-PROCUREMENT OF ICT EQUIPMENT AND COMMUNICATION EQUIPMENT FOR THE USE OF SCHOOL DIVISION OFFICE-DEPED-NAVOTAS CITY</t>
  </si>
  <si>
    <t>Straight Contract for Proposed Rural Electrification Phase 2, So. Pangi, Brgy. Carabalan, Himamaylan City</t>
  </si>
  <si>
    <t>Procurement of Hardware and Construction Materials for Temporary Makeshift Bridge at Lipay, Dagupan &amp; Dipilat -Alsem River</t>
  </si>
  <si>
    <t>Construction of Apartment Type Tomb, Barangay 5</t>
  </si>
  <si>
    <t>Supply and Delivery of Drugs and Medicines - BEC</t>
  </si>
  <si>
    <t>purchase of construction/Fab./Installation of Solar Streetlights</t>
  </si>
  <si>
    <t>lot b-provision of cleaning equipment that facilitates a safe and sanitary teaching and learning environment</t>
  </si>
  <si>
    <t>RFQ for the Services of Pulling and Transplanting for Research IGP</t>
  </si>
  <si>
    <t>2LSSM2020A-212 Office Supplies</t>
  </si>
  <si>
    <t>Provisions for Covid-19 prevention and monitoring</t>
  </si>
  <si>
    <t>Purchase of 1 unit Multi-functional Machine with Dual-scan Document Processor</t>
  </si>
  <si>
    <t>Supply and Delivery of Medical/Office Supplies</t>
  </si>
  <si>
    <t>PR NO. 1426 Air Conditioning</t>
  </si>
  <si>
    <t>Procurement of Various IT Equipments-06-361(A)PGO</t>
  </si>
  <si>
    <t>Supply and Installation of P.E Tanks, 1 Unit</t>
  </si>
  <si>
    <t>Procurement of Agricultural supplies for use in implementation of various Research Projects under Rice RND FY 2020</t>
  </si>
  <si>
    <t>Procurement for Catering Services for 17 Days during the Series of Activities in Preparation for the ISO 9001:2015 2nd Surveillance Audit</t>
  </si>
  <si>
    <t>Supply &amp; Delivery of Printer for Cashier's Office 01D(CO) F11-2020</t>
  </si>
  <si>
    <t>To hire contractor to provide materials, labor and equipment for two (2) Infrastructure Projects, viz: 1) Construction of River Control Barangay Cabugan Bindoy, Negros Oriental; 2) Concreting of Baran</t>
  </si>
  <si>
    <t>Publication of City Ordinances for 2020 for the City of Meycauayan, Bulacan</t>
  </si>
  <si>
    <t>Supply and Delivery of Parts to be used in the Repair and Maintenance of Naujan PNP Vehicle and Motorcycle, Naujan, Oriental Mindoro</t>
  </si>
  <si>
    <t>PR2020-06-024 - Purchase and Delivery of Office Equipment, Supplies and Consumables</t>
  </si>
  <si>
    <t>INSTALLATION OF SOLAR STREET LIGHTS</t>
  </si>
  <si>
    <t>EXTENSION OF LOCAL RISK REDUCTION MANAGEMENT OFFICE</t>
  </si>
  <si>
    <t>Rehabilitation of Brgy. Road, Brgy. Bucalan, Canlaon City</t>
  </si>
  <si>
    <t>Procurement of Internet Services -BEC</t>
  </si>
  <si>
    <t>( PR NO. 20-06-04-0071 SUPPLY AND DELIVERY OF 10 pcs Concrete Cutter Blade(18-inches), 6 pcs Concrete Cutter Blade(14-inches), 5 pcs Belt, 10 pcs (Pillow Block)Bearing)</t>
  </si>
  <si>
    <t>2020-06-128 PROCUREMENT OF VEHICLE PARTS AND ACCESSORIES - PGO</t>
  </si>
  <si>
    <t>Supply, Delivery and Installation of Tires for PRDP Vehicles (PRAS No. 2020-042 &amp; SH-016-2020)</t>
  </si>
  <si>
    <t>Request for Quotation for the supply and delivery of 2 sets of read and bill device</t>
  </si>
  <si>
    <t>Supply and Delivery of Spare Parts for the use in CaPenro</t>
  </si>
  <si>
    <t>Vehicle repair &amp; maintenance</t>
  </si>
  <si>
    <t>PR NO. 1523 Annual Report 2019 Book</t>
  </si>
  <si>
    <t>Procurement of Various Electrical Supplies-06-359(O)PEO</t>
  </si>
  <si>
    <t>Procurement of Construction Materials for the Concreting of Perimeter Fence, new PNP bldg.</t>
  </si>
  <si>
    <t>Improvement of Drainage Canal, Brgy Poblacion Bindoy , Negros Oriental(N-142-2020)</t>
  </si>
  <si>
    <t>20GIE0010 - Purchase of Tires and Accessories for Nissan Navarra with Plate Number SJW-290, Supply and Procurement of Equipment Parts Only. DPWH, Leyte Third District Engineering Office, V</t>
  </si>
  <si>
    <t>Improvement of Computer Room</t>
  </si>
  <si>
    <t>HEALTH SUPPLIES</t>
  </si>
  <si>
    <t>Purchase of Rescue Vehicle Bonggo</t>
  </si>
  <si>
    <t>Construction of Multi-Purpose Building (New Building Phase I), Ugac Sur, Tuguegarao City</t>
  </si>
  <si>
    <t>Supply and Delivery of Meals and Snacks for Conduct of Tsunami Forum &amp; Planning Workshop</t>
  </si>
  <si>
    <t>request for quotation for UPS 625VA, etc. (PMD)</t>
  </si>
  <si>
    <t>R.F.Q. (P.R. No.) 20-06-88 - Office Supplies</t>
  </si>
  <si>
    <t>S/D OF ONE HUNDRED (100) TAB ALMAG TABLET AND TWENTY SEVEN (27) OTHER LI OF H1BCT, PA (PHP 110,000.00)</t>
  </si>
  <si>
    <t>RFQ for the Procurement of Expand-A-Wall</t>
  </si>
  <si>
    <t>Procurement of Various Electrical Supplies-06-360(O)PEO</t>
  </si>
  <si>
    <t>PROCUREMENT OF OFFICE SUPPLIES FOR THE 2ND QUARTER OF YEAR 2020</t>
  </si>
  <si>
    <t>SUPPLY , DELIVERY, INSTALLATION, COMMISSIONING &amp; TESTING OF FIVE (5) UNITS OF CEILING CASSETTE SPLIT TYPE INVERTER AIRCON 5 TONNER</t>
  </si>
  <si>
    <t>ELECTRO-MECHANICAL AND INDUSTRIAL MOTOR CONTROL TRAINING SYSTEM</t>
  </si>
  <si>
    <t>Purchase of CCTV with Installation for PNP Labason Station Surveillance:</t>
  </si>
  <si>
    <t>Procurement of COnstruction Materials &amp; Supplies for Line Canal at Barangay Bacsay Cataraoan Norte, Claveria, Cagayan Valley</t>
  </si>
  <si>
    <t>Concreting of Matu-og Num-Num FTMR Tayasan , Negros Oriental(N-139-2020)</t>
  </si>
  <si>
    <t>Supply and Delivery of One (1) Unit Multi Cab (Rebuilt/Reconditioned), Ugac Sur, Tuguegarao City</t>
  </si>
  <si>
    <t>SSS Sagay Branch Diesel Fuel</t>
  </si>
  <si>
    <t>P.R. # 20-06-060 Maintenance and Repair of Infrastructure Facilities and other Related Activities-Routine Maintenance of National roads &amp; bridges for the Purchase of Uniform Requirements of Roadside M</t>
  </si>
  <si>
    <t>Furniture06-156-E</t>
  </si>
  <si>
    <t>Bid No. 20-0276 - PROCUREMENT OF OFFICE SUPPLIES - MHO OPERATIONS</t>
  </si>
  <si>
    <t>PR2020-06-025 - Purchase and Delivery of Airconditioning and Aircondnitioning System</t>
  </si>
  <si>
    <t>Procurement of Various Canon Cartridge</t>
  </si>
  <si>
    <t>office equipment</t>
  </si>
  <si>
    <t>Supplies June 2020 B3</t>
  </si>
  <si>
    <t>Procurement of Construction Materials for the Construction of Perimeter Niches, Brgy. Dajay, Surallah</t>
  </si>
  <si>
    <t>Office Equipment of GDSS for Official use of  DENR-INREMP  BUKIDNON</t>
  </si>
  <si>
    <t>Nueva Vizcaya</t>
  </si>
  <si>
    <t>Samar</t>
  </si>
  <si>
    <t>Iloilo</t>
  </si>
  <si>
    <t>Nueva Ecija</t>
  </si>
  <si>
    <t>Bohol</t>
  </si>
  <si>
    <t>Cotabato</t>
  </si>
  <si>
    <t>Davao Del Sur</t>
  </si>
  <si>
    <t>Zamboanga Del Sur</t>
  </si>
  <si>
    <t>Pampanga</t>
  </si>
  <si>
    <t>Ilocos Sur</t>
  </si>
  <si>
    <t>La Union</t>
  </si>
  <si>
    <t>Quezon</t>
  </si>
  <si>
    <t>Agusan Del Sur</t>
  </si>
  <si>
    <t>Negros Oriental</t>
  </si>
  <si>
    <t>Misamis Oriental</t>
  </si>
  <si>
    <t>Bukidnon</t>
  </si>
  <si>
    <t>Aklan</t>
  </si>
  <si>
    <t>Guimaras</t>
  </si>
  <si>
    <t>Occidental Mindoro</t>
  </si>
  <si>
    <t>Sorsogon</t>
  </si>
  <si>
    <t>South Cotabato</t>
  </si>
  <si>
    <t>Metro Manila</t>
  </si>
  <si>
    <t>Bataan</t>
  </si>
  <si>
    <t>(Independent City)</t>
  </si>
  <si>
    <t>Dinagat Island</t>
  </si>
  <si>
    <t>Cavite</t>
  </si>
  <si>
    <t>Bulacan</t>
  </si>
  <si>
    <t>Leyte</t>
  </si>
  <si>
    <t>Zamboanga Del Norte</t>
  </si>
  <si>
    <t>Negros Occidental</t>
  </si>
  <si>
    <t>Agusan Del Norte</t>
  </si>
  <si>
    <t>Palawan</t>
  </si>
  <si>
    <t>Capiz</t>
  </si>
  <si>
    <t>Oriental Mindoro</t>
  </si>
  <si>
    <t>Masbate</t>
  </si>
  <si>
    <t>Tawi-Tawi</t>
  </si>
  <si>
    <t>Isabela</t>
  </si>
  <si>
    <t>Batangas</t>
  </si>
  <si>
    <t>Rizal</t>
  </si>
  <si>
    <t>Mountain Province</t>
  </si>
  <si>
    <t>Eastern Samar</t>
  </si>
  <si>
    <t>Davao Del Norte</t>
  </si>
  <si>
    <t>Zamboanga Sibugay</t>
  </si>
  <si>
    <t>Davao Occidental</t>
  </si>
  <si>
    <t>Camarines Sur</t>
  </si>
  <si>
    <t>Antique</t>
  </si>
  <si>
    <t>Marinduque</t>
  </si>
  <si>
    <t>Compostela Valley</t>
  </si>
  <si>
    <t>Surigao Del Sur</t>
  </si>
  <si>
    <t>Abra</t>
  </si>
  <si>
    <t>Pangasinan</t>
  </si>
  <si>
    <t>Camarines Norte</t>
  </si>
  <si>
    <t>Northern Samar</t>
  </si>
  <si>
    <t>Cebu</t>
  </si>
  <si>
    <t>Benguet</t>
  </si>
  <si>
    <t>Davao Oriental</t>
  </si>
  <si>
    <t>Camiguin</t>
  </si>
  <si>
    <t>Romblon</t>
  </si>
  <si>
    <t>Biliran</t>
  </si>
  <si>
    <t>Ilocos Norte</t>
  </si>
  <si>
    <t>Albay</t>
  </si>
  <si>
    <t>Zambales</t>
  </si>
  <si>
    <t>Tarlac</t>
  </si>
  <si>
    <t>Quirino</t>
  </si>
  <si>
    <t>Cagayan</t>
  </si>
  <si>
    <t>Lanao Del Norte</t>
  </si>
  <si>
    <t>Sultan Kudarat</t>
  </si>
  <si>
    <t>Laguna</t>
  </si>
  <si>
    <t>Ifugao</t>
  </si>
  <si>
    <t>ITB-2020-001</t>
  </si>
  <si>
    <t>2020-2</t>
  </si>
  <si>
    <t>2020-001</t>
  </si>
  <si>
    <t>2020-06-001</t>
  </si>
  <si>
    <t>PR-MOC20-1219JUN02JUL-001</t>
  </si>
  <si>
    <t>2020-05</t>
  </si>
  <si>
    <t>20CSM00101</t>
  </si>
  <si>
    <t>PR-MOC20-1219JUN02JUL-005</t>
  </si>
  <si>
    <t>2020-06-013</t>
  </si>
  <si>
    <t>PR-MOC20-1219JUN02JUL-002</t>
  </si>
  <si>
    <t>PZDS-2020-06-045-IB</t>
  </si>
  <si>
    <t>2020-Brgy. 13 Pob-005</t>
  </si>
  <si>
    <t>2020-Brgy. 13 Pob.-003</t>
  </si>
  <si>
    <t>PR-MOC20-1219JUN02JUL-004</t>
  </si>
  <si>
    <t>2020-Brgy. 04 Pob.-002</t>
  </si>
  <si>
    <t>20-01-001</t>
  </si>
  <si>
    <t>003</t>
  </si>
  <si>
    <t>PR-MOC20-1219JUN02JUL-007</t>
  </si>
  <si>
    <t>20-05SF</t>
  </si>
  <si>
    <t>20-024SF</t>
  </si>
  <si>
    <t>PR-MOC20-1219JUN02JUL-003</t>
  </si>
  <si>
    <t>PR-MOC20-1219JUN02JUL-006</t>
  </si>
  <si>
    <t>Barangay 08 Poblacion 001-2020</t>
  </si>
  <si>
    <t>2020-059</t>
  </si>
  <si>
    <t>2996-20</t>
  </si>
  <si>
    <t>pr# 2020-06-113</t>
  </si>
  <si>
    <t>2020--059</t>
  </si>
  <si>
    <t>3080-20</t>
  </si>
  <si>
    <t>2020-058</t>
  </si>
  <si>
    <t>2997-20</t>
  </si>
  <si>
    <t>1002006-400-008</t>
  </si>
  <si>
    <t>2020-060</t>
  </si>
  <si>
    <t>3123-20</t>
  </si>
  <si>
    <t>2968-20</t>
  </si>
  <si>
    <t>3090-20</t>
  </si>
  <si>
    <t>2312-20</t>
  </si>
  <si>
    <t>3091-20</t>
  </si>
  <si>
    <t>3089-20</t>
  </si>
  <si>
    <t>3058-20</t>
  </si>
  <si>
    <t>PR-20-02-054</t>
  </si>
  <si>
    <t>3079-20</t>
  </si>
  <si>
    <t>PR-20-02-070</t>
  </si>
  <si>
    <t>PR-20-01-045</t>
  </si>
  <si>
    <t>130 - 2020</t>
  </si>
  <si>
    <t>3033-20</t>
  </si>
  <si>
    <t>PR-20-01-043</t>
  </si>
  <si>
    <t>3050-20</t>
  </si>
  <si>
    <t>LGUTMO BAC 2020-16</t>
  </si>
  <si>
    <t>3048-20</t>
  </si>
  <si>
    <t>PR-20-01-042</t>
  </si>
  <si>
    <t>079 - 2020</t>
  </si>
  <si>
    <t>2896-20</t>
  </si>
  <si>
    <t>041-2020</t>
  </si>
  <si>
    <t>3129-20</t>
  </si>
  <si>
    <t>PBD 20-078</t>
  </si>
  <si>
    <t>3127-20</t>
  </si>
  <si>
    <t>RFQ-2020-06-15-441</t>
  </si>
  <si>
    <t>2315-20</t>
  </si>
  <si>
    <t>3122-20</t>
  </si>
  <si>
    <t>LGUTMO BAC 2020-17</t>
  </si>
  <si>
    <t>3128-20</t>
  </si>
  <si>
    <t>rfq064</t>
  </si>
  <si>
    <t>080 - 2020</t>
  </si>
  <si>
    <t>2020-06-355</t>
  </si>
  <si>
    <t>3130-20</t>
  </si>
  <si>
    <t>RFQ 101-2020</t>
  </si>
  <si>
    <t>20-06-003</t>
  </si>
  <si>
    <t>LGUTMO BAC 2020-10</t>
  </si>
  <si>
    <t>2020-03-224</t>
  </si>
  <si>
    <t>PB-DSM-2020-04</t>
  </si>
  <si>
    <t>PB-GE3-2020-16</t>
  </si>
  <si>
    <t>LGUTMO BAC 2020-14</t>
  </si>
  <si>
    <t>ITB NO: 2020-007-028</t>
  </si>
  <si>
    <t>2020-06-357</t>
  </si>
  <si>
    <t>065-2020</t>
  </si>
  <si>
    <t>081 - 2020</t>
  </si>
  <si>
    <t>RFQ NO: 2020-07-046</t>
  </si>
  <si>
    <t>Pitogo 2020-06-06</t>
  </si>
  <si>
    <t>Pitogo 2020-06-05</t>
  </si>
  <si>
    <t>1002006-406-009</t>
  </si>
  <si>
    <t>07122020-089</t>
  </si>
  <si>
    <t>2020-06-343</t>
  </si>
  <si>
    <t>1002006-412-011</t>
  </si>
  <si>
    <t>1002006-409-010</t>
  </si>
  <si>
    <t>DUA2020-06-0012</t>
  </si>
  <si>
    <t>2020-06-344</t>
  </si>
  <si>
    <t>0702</t>
  </si>
  <si>
    <t>2020-06-353</t>
  </si>
  <si>
    <t>20L00146</t>
  </si>
  <si>
    <t>20200622</t>
  </si>
  <si>
    <t>20-1387</t>
  </si>
  <si>
    <t>AAE JUNE22-2020(1)</t>
  </si>
  <si>
    <t>20-1426</t>
  </si>
  <si>
    <t>20L00138</t>
  </si>
  <si>
    <t>1101-20-03-134</t>
  </si>
  <si>
    <t>AAE JUNE22-2020(2)</t>
  </si>
  <si>
    <t>PR NO. 20-06-047</t>
  </si>
  <si>
    <t>1011-20-5-198A</t>
  </si>
  <si>
    <t>3156-20</t>
  </si>
  <si>
    <t>3155-20</t>
  </si>
  <si>
    <t>3158-20</t>
  </si>
  <si>
    <t>3176-20</t>
  </si>
  <si>
    <t>2020-I-078</t>
  </si>
  <si>
    <t>1071-20-05-196</t>
  </si>
  <si>
    <t>20L00156</t>
  </si>
  <si>
    <t>REF #042-06-2020</t>
  </si>
  <si>
    <t>3188-20</t>
  </si>
  <si>
    <t>3160-20</t>
  </si>
  <si>
    <t>84-20-5-012</t>
  </si>
  <si>
    <t>20L00155</t>
  </si>
  <si>
    <t>20L00158</t>
  </si>
  <si>
    <t>1091-20-02-048</t>
  </si>
  <si>
    <t>20L00157</t>
  </si>
  <si>
    <t>84-20-5-011</t>
  </si>
  <si>
    <t>3161-20</t>
  </si>
  <si>
    <t>20-03-0423</t>
  </si>
  <si>
    <t>20L00162</t>
  </si>
  <si>
    <t>PTCZN-2020-06-0044</t>
  </si>
  <si>
    <t>1011-20-01-017A</t>
  </si>
  <si>
    <t>1011-20-6-235A</t>
  </si>
  <si>
    <t>1071-20-05-197</t>
  </si>
  <si>
    <t>20GM0063 (RE-BIDDING)</t>
  </si>
  <si>
    <t>20-06-0229</t>
  </si>
  <si>
    <t>84-20-6-14</t>
  </si>
  <si>
    <t>20L00160</t>
  </si>
  <si>
    <t>4411-20-6-239</t>
  </si>
  <si>
    <t>20-03-0422</t>
  </si>
  <si>
    <t>9999-20-05-005</t>
  </si>
  <si>
    <t>84-20-5-010</t>
  </si>
  <si>
    <t>4411-20-6-236</t>
  </si>
  <si>
    <t>4411-20-6-238</t>
  </si>
  <si>
    <t>20-001</t>
  </si>
  <si>
    <t>20L00161</t>
  </si>
  <si>
    <t>20L00163</t>
  </si>
  <si>
    <t>20L00159</t>
  </si>
  <si>
    <t>20L00164</t>
  </si>
  <si>
    <t>1011-20-03-139</t>
  </si>
  <si>
    <t>ECV-20EE0128 RE BID</t>
  </si>
  <si>
    <t>20L00166</t>
  </si>
  <si>
    <t>061-2020</t>
  </si>
  <si>
    <t>20-06-009</t>
  </si>
  <si>
    <t>20L00165</t>
  </si>
  <si>
    <t>SDO GOODS 2020-026</t>
  </si>
  <si>
    <t>5461-20-6-253</t>
  </si>
  <si>
    <t>5461-20-6-252</t>
  </si>
  <si>
    <t>ECV-20EE0126  (RE BID)</t>
  </si>
  <si>
    <t>ECV-20EE0132 (RE BID)</t>
  </si>
  <si>
    <t>060-2020</t>
  </si>
  <si>
    <t>ECV-20EE0134 RE BID</t>
  </si>
  <si>
    <t>131 - 2020</t>
  </si>
  <si>
    <t>ITB-06-2020-007</t>
  </si>
  <si>
    <t>2020-I-079</t>
  </si>
  <si>
    <t>132 - 2020</t>
  </si>
  <si>
    <t>ITB-06-2020-006</t>
  </si>
  <si>
    <t>2019-APP-014</t>
  </si>
  <si>
    <t>2020-06-352</t>
  </si>
  <si>
    <t>IB-2020-096-INFRA</t>
  </si>
  <si>
    <t>2020-I-082</t>
  </si>
  <si>
    <t>PR-180-100-2020</t>
  </si>
  <si>
    <t>IB-2020-097-INFRA</t>
  </si>
  <si>
    <t>ITB-06-2020-005</t>
  </si>
  <si>
    <t>IB-2020-095-INFRA</t>
  </si>
  <si>
    <t>00008308</t>
  </si>
  <si>
    <t>IB NSCV2020-03</t>
  </si>
  <si>
    <t>2020-06-351</t>
  </si>
  <si>
    <t>00008312</t>
  </si>
  <si>
    <t>IB-2020-101-INFRA</t>
  </si>
  <si>
    <t>2020-06-002</t>
  </si>
  <si>
    <t>LGU-ROX-35-2020</t>
  </si>
  <si>
    <t>IB-2020-099-INFRA</t>
  </si>
  <si>
    <t>SanJoseBatsAeb2020-092</t>
  </si>
  <si>
    <t>20RFQ-02-00041-INFRA</t>
  </si>
  <si>
    <t>20-125</t>
  </si>
  <si>
    <t>RIZRFQ20-02</t>
  </si>
  <si>
    <t>IB-2020-100-INFRA</t>
  </si>
  <si>
    <t>2020-06-017B</t>
  </si>
  <si>
    <t>IB-2020-102-INFRA</t>
  </si>
  <si>
    <t>IB-2020-098-INFRA</t>
  </si>
  <si>
    <t>lgm</t>
  </si>
  <si>
    <t>IB-2020-103-INFRA</t>
  </si>
  <si>
    <t>2020-G001</t>
  </si>
  <si>
    <t>IB-2020-104-INFRA</t>
  </si>
  <si>
    <t>IB-2020-105-INFRA</t>
  </si>
  <si>
    <t>2020-06-349</t>
  </si>
  <si>
    <t>2020-06-281</t>
  </si>
  <si>
    <t>2020-06-019B</t>
  </si>
  <si>
    <t>ADS-0965-20</t>
  </si>
  <si>
    <t>2020-06-001 CCTV</t>
  </si>
  <si>
    <t>606-2020-001</t>
  </si>
  <si>
    <t>20-127</t>
  </si>
  <si>
    <t>01-2020</t>
  </si>
  <si>
    <t>20-128</t>
  </si>
  <si>
    <t>2020-06-018B</t>
  </si>
  <si>
    <t>IB-2020-106-INFRA</t>
  </si>
  <si>
    <t>20GM0080</t>
  </si>
  <si>
    <t>20-129</t>
  </si>
  <si>
    <t>20-131</t>
  </si>
  <si>
    <t>20-130</t>
  </si>
  <si>
    <t>1011-20-5-198C</t>
  </si>
  <si>
    <t>NCEBDE-108-20</t>
  </si>
  <si>
    <t>177-2020-001</t>
  </si>
  <si>
    <t>NCEBDE-086-20</t>
  </si>
  <si>
    <t>1011-20-5-198E</t>
  </si>
  <si>
    <t>NISF-049-20</t>
  </si>
  <si>
    <t>1011-20-5-198B</t>
  </si>
  <si>
    <t>365-2020-002</t>
  </si>
  <si>
    <t>REF #041(1)-06-2020</t>
  </si>
  <si>
    <t>HBC20-03-178 TO 189, HBC20-03-191</t>
  </si>
  <si>
    <t>389-2020-001</t>
  </si>
  <si>
    <t>ADS-0970-20</t>
  </si>
  <si>
    <t>20-132</t>
  </si>
  <si>
    <t>1011-20-5-198</t>
  </si>
  <si>
    <t>SanJoseBatsAeb2020-104</t>
  </si>
  <si>
    <t>1011-20-5-198D</t>
  </si>
  <si>
    <t>20-136</t>
  </si>
  <si>
    <t>1011-20-5-198G</t>
  </si>
  <si>
    <t>ADS-1351-20</t>
  </si>
  <si>
    <t>256-2020-001</t>
  </si>
  <si>
    <t>PB-2020-06-033</t>
  </si>
  <si>
    <t>20-135</t>
  </si>
  <si>
    <t>SAR-GOODS-05-005-2020</t>
  </si>
  <si>
    <t>300-20-01-0001</t>
  </si>
  <si>
    <t>PB-2020-06-034</t>
  </si>
  <si>
    <t>20-137</t>
  </si>
  <si>
    <t>20-046A</t>
  </si>
  <si>
    <t>BLGU P2</t>
  </si>
  <si>
    <t>PB-2020-06-035</t>
  </si>
  <si>
    <t>MMWD-0017-2020</t>
  </si>
  <si>
    <t>ADS-0973-20</t>
  </si>
  <si>
    <t>SUC 2020-06-001</t>
  </si>
  <si>
    <t>G-2020-15</t>
  </si>
  <si>
    <t>2020-06-356</t>
  </si>
  <si>
    <t>MCT 20-003 and MCT 20-004</t>
  </si>
  <si>
    <t>RFQ 2020-90</t>
  </si>
  <si>
    <t>20-138</t>
  </si>
  <si>
    <t>PB-2020-06-036</t>
  </si>
  <si>
    <t>2020-012R</t>
  </si>
  <si>
    <t>20IE0101</t>
  </si>
  <si>
    <t>ADS-1354-20</t>
  </si>
  <si>
    <t>20-072A</t>
  </si>
  <si>
    <t>ADS-1353-20</t>
  </si>
  <si>
    <t>2020-06-011</t>
  </si>
  <si>
    <t>P.R. No. 2020-06-0034</t>
  </si>
  <si>
    <t>SUC 2020-06-002</t>
  </si>
  <si>
    <t>P.R. No. 2020-06-0033</t>
  </si>
  <si>
    <t>ADS-1355-20</t>
  </si>
  <si>
    <t>P.R. No. 2020-06-0035</t>
  </si>
  <si>
    <t>ADS-1352-20</t>
  </si>
  <si>
    <t>2020-06-22</t>
  </si>
  <si>
    <t>vict-eps20-029</t>
  </si>
  <si>
    <t>200-20-06-0578-A</t>
  </si>
  <si>
    <t>PR No. 20-06-0021</t>
  </si>
  <si>
    <t>G-2020-032</t>
  </si>
  <si>
    <t>2020-06-020B</t>
  </si>
  <si>
    <t>PB-2020-06-037</t>
  </si>
  <si>
    <t>IB. NO. K-2020-060(SC)</t>
  </si>
  <si>
    <t>626973</t>
  </si>
  <si>
    <t>IB. NO. K-2020-064(SC)</t>
  </si>
  <si>
    <t>5020399000-45-SRSA-20</t>
  </si>
  <si>
    <t>5020399000-44-ARSA-20</t>
  </si>
  <si>
    <t>001-07-2020</t>
  </si>
  <si>
    <t>IB. NO. K-2020-063(SC)</t>
  </si>
  <si>
    <t>20-004</t>
  </si>
  <si>
    <t>Bid No. 20-0275</t>
  </si>
  <si>
    <t>5020301000-42-SRSA-20</t>
  </si>
  <si>
    <t>GOODS 2020-018</t>
  </si>
  <si>
    <t>5020305000-39-JASS-20</t>
  </si>
  <si>
    <t>5020305000-38-JASR-20</t>
  </si>
  <si>
    <t>001</t>
  </si>
  <si>
    <t>5020301000-41-ARSA-20</t>
  </si>
  <si>
    <t>5020399000-43-JRSA-20</t>
  </si>
  <si>
    <t>5020301000-40-JRSA-20</t>
  </si>
  <si>
    <t>5020308000-46-JASRS-20</t>
  </si>
  <si>
    <t>349-2020</t>
  </si>
  <si>
    <t>RFQ-182-2020</t>
  </si>
  <si>
    <t>RFQ-DVO-PR.NO. 2006164 CAT. 80 FUEL, OIL, LUBRICAN</t>
  </si>
  <si>
    <t>5021306001-47-JFMR-20</t>
  </si>
  <si>
    <t>06232020B</t>
  </si>
  <si>
    <t>RFQ-185-2020</t>
  </si>
  <si>
    <t>InTB-PGA7171OPAG2020-GDS2</t>
  </si>
  <si>
    <t>RFQ-181-2020</t>
  </si>
  <si>
    <t>RFQ-183-2020</t>
  </si>
  <si>
    <t>06232020A</t>
  </si>
  <si>
    <t>chitongco 2020-02</t>
  </si>
  <si>
    <t>InTB-PGA7171OPAG2020-GDS1</t>
  </si>
  <si>
    <t xml:space="preserve">RFQ-DVO-PR.NO. 2002418 CAT. 10 COMPUTER EQUIPMENT </t>
  </si>
  <si>
    <t>InTB-PGAPEO2MBP2020EDF-CW1</t>
  </si>
  <si>
    <t>chitongco 2020-01</t>
  </si>
  <si>
    <t xml:space="preserve">RFQ-DVO-PR.NO. 2002088 CAT. 10 COMPUTER EQUIPMENT </t>
  </si>
  <si>
    <t>InTB-PGAPEOROADS2020EDF-CW2</t>
  </si>
  <si>
    <t>RFQ-DVO-PR.NO. 2006175 CAT. 49 PRINTED FORMS AND P</t>
  </si>
  <si>
    <t>06-012020</t>
  </si>
  <si>
    <t>RFQ-DVO-PR.NO. 2006131 CAT. 80 FUEL, OIL, LUBRICAN</t>
  </si>
  <si>
    <t xml:space="preserve">RFQ-DVO-PR.NO. 2002421 CAT. 10 COMPUTER EQUIPMENT </t>
  </si>
  <si>
    <t xml:space="preserve">RFQ-DVO-PR.NO. 2002389 CAT. 10 COMPUTER EQUIPMENT </t>
  </si>
  <si>
    <t>01</t>
  </si>
  <si>
    <t xml:space="preserve">RFQ-DVO-PR.NO. 2001195 CAT. 10 COMPUTER EQUIPMENT </t>
  </si>
  <si>
    <t>RFQ-DVO-PR.NO. 2002150 CAT. 10 COMPUTER EQUIPMENT</t>
  </si>
  <si>
    <t>RFQ-DVO-PR.NO. 2002081 CAT. 62 VEHICLES AND ACCESS</t>
  </si>
  <si>
    <t>2020-0601</t>
  </si>
  <si>
    <t>bagong silang 3 pr1</t>
  </si>
  <si>
    <t>RFQ-DVO-PR.NO. 2002396 CAT. 62 VEHICLES AND ACCESS</t>
  </si>
  <si>
    <t xml:space="preserve">RFQ-DVO-PR.NO. 2002388 CAT. 10 COMPUTER EQUIPMENT </t>
  </si>
  <si>
    <t>RFQ-DVO-PR.NO. 2002458 CAT. 62 VEHICLE AND ACCESSO</t>
  </si>
  <si>
    <t xml:space="preserve">RFQ-DVO-PR.NO. 2002159 CAT. 10 COMPUTER RQUIPMENT </t>
  </si>
  <si>
    <t>RFQ-DVO-PR.NO. 2002287 CAT. 26 FERTILIZERS, FUNGIC</t>
  </si>
  <si>
    <t>RFQ-DVO-PR.NO. 2002372 CAT. 52 RADIO COMMUNICATION</t>
  </si>
  <si>
    <t>2020-0602</t>
  </si>
  <si>
    <t>1</t>
  </si>
  <si>
    <t>2020- INFR- 001</t>
  </si>
  <si>
    <t>2020-06-0209</t>
  </si>
  <si>
    <t>BMC-N-20-195</t>
  </si>
  <si>
    <t>LGULILA-06-2020</t>
  </si>
  <si>
    <t>NS-2020-06-0224</t>
  </si>
  <si>
    <t>BMC-N-20-197</t>
  </si>
  <si>
    <t>BMC-N-20-193</t>
  </si>
  <si>
    <t>BMC-N-20-196</t>
  </si>
  <si>
    <t>ITB No. G12-03-2020</t>
  </si>
  <si>
    <t>NS-2020-06-0210</t>
  </si>
  <si>
    <t>NS-2020-06-0218</t>
  </si>
  <si>
    <t>NS-2020-06-0207</t>
  </si>
  <si>
    <t>2020-0603</t>
  </si>
  <si>
    <t>BMC-N-20-192</t>
  </si>
  <si>
    <t>2020-0304</t>
  </si>
  <si>
    <t>SN-2020-010</t>
  </si>
  <si>
    <t>GEPS-2020-0624</t>
  </si>
  <si>
    <t>2020-004</t>
  </si>
  <si>
    <t>ITB No. G11-03-2020</t>
  </si>
  <si>
    <t>100-2020-Infra-375</t>
  </si>
  <si>
    <t>2020-41</t>
  </si>
  <si>
    <t>BMC-N-20-198</t>
  </si>
  <si>
    <t>2020-06-01</t>
  </si>
  <si>
    <t>RFQ - PR No. 2020-06-0120 dated 6-10-20</t>
  </si>
  <si>
    <t>BMC-N-20-199</t>
  </si>
  <si>
    <t>2020-06-1057</t>
  </si>
  <si>
    <t>RQ No. 2020-06-85</t>
  </si>
  <si>
    <t>RFQ NO. 20-0584 NP-SVP</t>
  </si>
  <si>
    <t>PR-20-06-27</t>
  </si>
  <si>
    <t>Civil Works 022-2020</t>
  </si>
  <si>
    <t>SVP-35</t>
  </si>
  <si>
    <t>BFAR5BAC-2020-109</t>
  </si>
  <si>
    <t>2020-06-09</t>
  </si>
  <si>
    <t>2</t>
  </si>
  <si>
    <t>RQ No. 2020-06-4</t>
  </si>
  <si>
    <t>NS-2020-05-0186</t>
  </si>
  <si>
    <t>20-06-033</t>
  </si>
  <si>
    <t>100(01)20-06-011(E)</t>
  </si>
  <si>
    <t>2020-39</t>
  </si>
  <si>
    <t>20-483</t>
  </si>
  <si>
    <t>2020-GOODS-065</t>
  </si>
  <si>
    <t>RFQ NO. 20-0585 NP-SVP</t>
  </si>
  <si>
    <t>2020-095</t>
  </si>
  <si>
    <t>100(01)20-06-010(E)</t>
  </si>
  <si>
    <t>3</t>
  </si>
  <si>
    <t>100-2020-GOODS-371</t>
  </si>
  <si>
    <t>SVP 37</t>
  </si>
  <si>
    <t>20CH0074</t>
  </si>
  <si>
    <t>005</t>
  </si>
  <si>
    <t>100(01)20-06-009(C)</t>
  </si>
  <si>
    <t>Q-52</t>
  </si>
  <si>
    <t>pr#2020-06-054</t>
  </si>
  <si>
    <t>MPQ-062420-095</t>
  </si>
  <si>
    <t>POG/OE/45-2020</t>
  </si>
  <si>
    <t>100(01)20-06-007(I)</t>
  </si>
  <si>
    <t>2020-43</t>
  </si>
  <si>
    <t>ITB No. 023B-2020 GQ</t>
  </si>
  <si>
    <t>2020-05-001</t>
  </si>
  <si>
    <t>NS-2020-05-0181</t>
  </si>
  <si>
    <t>2020-GOODS-066</t>
  </si>
  <si>
    <t>PR# 20-0780</t>
  </si>
  <si>
    <t>ITB-MPR-Goods-2020-020</t>
  </si>
  <si>
    <t>PR 20-05-0260</t>
  </si>
  <si>
    <t>100(01)20-06-028(P)</t>
  </si>
  <si>
    <t>038-20</t>
  </si>
  <si>
    <t>2020-06-182-B</t>
  </si>
  <si>
    <t>20-141</t>
  </si>
  <si>
    <t>2020-06-23-0129</t>
  </si>
  <si>
    <t>IB 2020-035</t>
  </si>
  <si>
    <t>2020-Barangay darahuway-001</t>
  </si>
  <si>
    <t>100(18)20-06-358(O)</t>
  </si>
  <si>
    <t>032 20-1102</t>
  </si>
  <si>
    <t>RFQ 2020-06-015</t>
  </si>
  <si>
    <t>ITB No. 024B-2020 GQ</t>
  </si>
  <si>
    <t>pmma-svp-40-20</t>
  </si>
  <si>
    <t>006</t>
  </si>
  <si>
    <t>100(18)20-06-353(O)</t>
  </si>
  <si>
    <t>2020-06-012</t>
  </si>
  <si>
    <t>20-143</t>
  </si>
  <si>
    <t>BUE-06242020-01</t>
  </si>
  <si>
    <t>MMWD-0018-2020</t>
  </si>
  <si>
    <t>550-20</t>
  </si>
  <si>
    <t>2020-06-071</t>
  </si>
  <si>
    <t>2020-06-1056</t>
  </si>
  <si>
    <t>100(18)20-06-356(O)</t>
  </si>
  <si>
    <t>MMWD-0019-2020</t>
  </si>
  <si>
    <t>20-142</t>
  </si>
  <si>
    <t>20CH0075</t>
  </si>
  <si>
    <t>2020-06-17</t>
  </si>
  <si>
    <t>PR# 20-06-0604</t>
  </si>
  <si>
    <t>100(18)20-06-355(O)</t>
  </si>
  <si>
    <t>NIA-NOIMO-2020-06-0192</t>
  </si>
  <si>
    <t>191-2020</t>
  </si>
  <si>
    <t>PR#20-06-0329</t>
  </si>
  <si>
    <t>100(200)20-06-002</t>
  </si>
  <si>
    <t>2020-06-008</t>
  </si>
  <si>
    <t>20-06-642</t>
  </si>
  <si>
    <t>ITB-MPR-Goods-2020-021</t>
  </si>
  <si>
    <t>RFQ-148-2020-SMD</t>
  </si>
  <si>
    <t>2020-08</t>
  </si>
  <si>
    <t>2020-Barangay Cabugawan-001</t>
  </si>
  <si>
    <t>20-144</t>
  </si>
  <si>
    <t>2020-SVP-275</t>
  </si>
  <si>
    <t>2020-0623-34G</t>
  </si>
  <si>
    <t>100(01)20-06-348(O)</t>
  </si>
  <si>
    <t>IB 2020-036</t>
  </si>
  <si>
    <t>RFQ NO. 20-0586 NP-SVP</t>
  </si>
  <si>
    <t>2020-06-125(06207512)</t>
  </si>
  <si>
    <t>RFQ2020-06-0184 (PR#8980-20-06-0274)</t>
  </si>
  <si>
    <t>LGU-ROX-36-2020</t>
  </si>
  <si>
    <t>000187</t>
  </si>
  <si>
    <t>RFQ No.: 2020-06-0520</t>
  </si>
  <si>
    <t>20-145</t>
  </si>
  <si>
    <t>2020-06-009</t>
  </si>
  <si>
    <t>SV-0714-2020</t>
  </si>
  <si>
    <t>20M0028</t>
  </si>
  <si>
    <t>XI-20-06-014</t>
  </si>
  <si>
    <t>MATANGLAD-INFR-06-01</t>
  </si>
  <si>
    <t>20-03-597</t>
  </si>
  <si>
    <t>100-20-06-345</t>
  </si>
  <si>
    <t>1430</t>
  </si>
  <si>
    <t>lgu padada-0020-06-24-2020</t>
  </si>
  <si>
    <t>20-06-121</t>
  </si>
  <si>
    <t>20-146</t>
  </si>
  <si>
    <t>100(01)20-06-347(A)</t>
  </si>
  <si>
    <t>2020-INFRA-008</t>
  </si>
  <si>
    <t>RFQ-133-2020-SMD</t>
  </si>
  <si>
    <t>2020-SVP-276</t>
  </si>
  <si>
    <t>100(01)20-06-346(A)</t>
  </si>
  <si>
    <t>2020-06-383</t>
  </si>
  <si>
    <t>AMP2020-094</t>
  </si>
  <si>
    <t>LGU-RFQ-2020-60</t>
  </si>
  <si>
    <t>2020-061</t>
  </si>
  <si>
    <t>GHQBAC1-PB-013-GHQ-20</t>
  </si>
  <si>
    <t>2020-06-0027</t>
  </si>
  <si>
    <t>epslingayen2020-37</t>
  </si>
  <si>
    <t>2020-06-016</t>
  </si>
  <si>
    <t>RFQ-20-06-019</t>
  </si>
  <si>
    <t>2020-Barangay 10 Poblacion-03</t>
  </si>
  <si>
    <t>062420-R1</t>
  </si>
  <si>
    <t>20-06-045</t>
  </si>
  <si>
    <t>0951-20</t>
  </si>
  <si>
    <t>ITB-MPR-Goods-2020-022</t>
  </si>
  <si>
    <t>100(01)20-06-348(A)</t>
  </si>
  <si>
    <t>2020-SVP-277</t>
  </si>
  <si>
    <t>20201225</t>
  </si>
  <si>
    <t>ITB-Improvement of Multi-Purpose-Brgy. Tapul</t>
  </si>
  <si>
    <t>189-2020</t>
  </si>
  <si>
    <t>2020-06-014</t>
  </si>
  <si>
    <t>Mahayag ES 1st Quarter MOOE</t>
  </si>
  <si>
    <t>2020-06-03</t>
  </si>
  <si>
    <t>ITB No. 026B-2020 GQ</t>
  </si>
  <si>
    <t>100(01)20-06-349(A)</t>
  </si>
  <si>
    <t>0938-20</t>
  </si>
  <si>
    <t>2020-06-010</t>
  </si>
  <si>
    <t>2020-032</t>
  </si>
  <si>
    <t>P.R. # 20-06-056</t>
  </si>
  <si>
    <t>captmain136893-02</t>
  </si>
  <si>
    <t>2020-SVP-279</t>
  </si>
  <si>
    <t>1421</t>
  </si>
  <si>
    <t>PR 2020-06-213</t>
  </si>
  <si>
    <t>2020-06-16-0120</t>
  </si>
  <si>
    <t>20-06-122</t>
  </si>
  <si>
    <t>2020-311</t>
  </si>
  <si>
    <t>BLGU-STAFE-AL-G-01-2020</t>
  </si>
  <si>
    <t>AMP2020-095</t>
  </si>
  <si>
    <t>100(01)20-06-342(A)</t>
  </si>
  <si>
    <t>2020-05-11</t>
  </si>
  <si>
    <t>RFQ-003</t>
  </si>
  <si>
    <t>RFQ No.: 2020-06-0509</t>
  </si>
  <si>
    <t>100(01)20-06-355(A)</t>
  </si>
  <si>
    <t>0942-20</t>
  </si>
  <si>
    <t>RFQ-2020-8</t>
  </si>
  <si>
    <t>20GIB0035</t>
  </si>
  <si>
    <t>bcnhs00151</t>
  </si>
  <si>
    <t>N-146-2020</t>
  </si>
  <si>
    <t>LWUA_GSD20-095</t>
  </si>
  <si>
    <t>ITB No. 027B-2020 GQ</t>
  </si>
  <si>
    <t>20-06-000072</t>
  </si>
  <si>
    <t>JR# 20-146</t>
  </si>
  <si>
    <t>002-2020</t>
  </si>
  <si>
    <t>2020 Napalico 6</t>
  </si>
  <si>
    <t>0943-20</t>
  </si>
  <si>
    <t>LGU-ALCOY-2020-035</t>
  </si>
  <si>
    <t>20-06-123</t>
  </si>
  <si>
    <t>0939-20</t>
  </si>
  <si>
    <t>2020-043J</t>
  </si>
  <si>
    <t>2020-SVP-280</t>
  </si>
  <si>
    <t>RM 2020-052</t>
  </si>
  <si>
    <t>062420-H01</t>
  </si>
  <si>
    <t>100(01)20-06-359(A)</t>
  </si>
  <si>
    <t>120</t>
  </si>
  <si>
    <t>2020-06-605</t>
  </si>
  <si>
    <t>20-06-046</t>
  </si>
  <si>
    <t>100(01)20-06-358(A)</t>
  </si>
  <si>
    <t>SV-0546-2020</t>
  </si>
  <si>
    <t>06242020</t>
  </si>
  <si>
    <t>2020-SVP-281</t>
  </si>
  <si>
    <t>ITB No. 028B-2020 GQ</t>
  </si>
  <si>
    <t>525-20</t>
  </si>
  <si>
    <t>1530</t>
  </si>
  <si>
    <t>2020-63</t>
  </si>
  <si>
    <t>RFQ No.: 2020-06-0512</t>
  </si>
  <si>
    <t>bcnhs00152</t>
  </si>
  <si>
    <t>2020 Meocan 21</t>
  </si>
  <si>
    <t>GOODS 2020-06-PLA005</t>
  </si>
  <si>
    <t>MG-A7T20-052</t>
  </si>
  <si>
    <t>ITB-023-2020</t>
  </si>
  <si>
    <t>2020-QR06-00014</t>
  </si>
  <si>
    <t>20-06-000074</t>
  </si>
  <si>
    <t>20-06-124</t>
  </si>
  <si>
    <t>2020-06-017</t>
  </si>
  <si>
    <t>100(18)20-06-357(O)</t>
  </si>
  <si>
    <t>0659-20</t>
  </si>
  <si>
    <t>20201226</t>
  </si>
  <si>
    <t>PR 20-06-1729</t>
  </si>
  <si>
    <t>P.R. # 20-06-058</t>
  </si>
  <si>
    <t>20-049</t>
  </si>
  <si>
    <t>20-06-000075</t>
  </si>
  <si>
    <t>20GIE0014 (PR# 20-06-021)</t>
  </si>
  <si>
    <t>2020 Tumanding 7</t>
  </si>
  <si>
    <t>R.F.Q. (P.R. No.) 20-06-89</t>
  </si>
  <si>
    <t>062420-H02</t>
  </si>
  <si>
    <t>ATI2020-06-144</t>
  </si>
  <si>
    <t>06-007-2020</t>
  </si>
  <si>
    <t>ITB No. 029B-2020 GQ</t>
  </si>
  <si>
    <t>2020-SVP-282</t>
  </si>
  <si>
    <t>RFQ 05-0401-20 ADMIN</t>
  </si>
  <si>
    <t>100-2004-339-GF</t>
  </si>
  <si>
    <t>19</t>
  </si>
  <si>
    <t>2020-06-0126</t>
  </si>
  <si>
    <t>2020-051</t>
  </si>
  <si>
    <t>20-482</t>
  </si>
  <si>
    <t>2020-RFQ-020</t>
  </si>
  <si>
    <t>0826-20</t>
  </si>
  <si>
    <t>RFQ Alternative Learning System IT Equipment PR#20</t>
  </si>
  <si>
    <t>GHQBAC1-PB-018-GHQ-20</t>
  </si>
  <si>
    <t>RFQ 2020-009</t>
  </si>
  <si>
    <t>lgu padada-0021-06-24-2020</t>
  </si>
  <si>
    <t>RFQ No.: 2020-06-0515</t>
  </si>
  <si>
    <t>PB-LAP-2020-071</t>
  </si>
  <si>
    <t>06-24-2020-230</t>
  </si>
  <si>
    <t>20-06-047</t>
  </si>
  <si>
    <t>ITB No. 031B-2020 GQ</t>
  </si>
  <si>
    <t>RFQ 2020-010</t>
  </si>
  <si>
    <t>20-06-638</t>
  </si>
  <si>
    <t>PR 20-06-1669</t>
  </si>
  <si>
    <t>RFQ No.: 2020-06-0516</t>
  </si>
  <si>
    <t>N-174-2020</t>
  </si>
  <si>
    <t>INFRASIB-2020-10</t>
  </si>
  <si>
    <t>ITB 2020-07 GOODS</t>
  </si>
  <si>
    <t>LGU-BLU-20-06-047</t>
  </si>
  <si>
    <t>RFQ 2020-011</t>
  </si>
  <si>
    <t>2020-RFQ-021</t>
  </si>
  <si>
    <t>0865</t>
  </si>
  <si>
    <t>PR. NO. 2020060722</t>
  </si>
  <si>
    <t>PR NO. 20-06-048</t>
  </si>
  <si>
    <t>INFRASIB-2020-11</t>
  </si>
  <si>
    <t>2020 Anapolon 4</t>
  </si>
  <si>
    <t>20-06-08-PO</t>
  </si>
  <si>
    <t>vw1-20-06-0022</t>
  </si>
  <si>
    <t>20-06-125</t>
  </si>
  <si>
    <t>BAC-PG-0011</t>
  </si>
  <si>
    <t>19-12-062-EM</t>
  </si>
  <si>
    <t>INFRASIB-2020-12</t>
  </si>
  <si>
    <t>MSDS-6-2020-G8</t>
  </si>
  <si>
    <t>n-172-2020</t>
  </si>
  <si>
    <t>06-24-2020-231</t>
  </si>
  <si>
    <t>GOODS 2020-06-PLA006</t>
  </si>
  <si>
    <t>G-2020-005</t>
  </si>
  <si>
    <t>2020-PR-66A-CAR</t>
  </si>
  <si>
    <t>PR 20-06-1762</t>
  </si>
  <si>
    <t>CAAPKIA2020-019</t>
  </si>
  <si>
    <t>RFQ NO. 20-06-400</t>
  </si>
  <si>
    <t>INFRASIB-2020-13</t>
  </si>
  <si>
    <t>ITB-024-2020</t>
  </si>
  <si>
    <t>BANNA-ITB-70(DUMP TRUCK)</t>
  </si>
  <si>
    <t>RFQ 2020-4076</t>
  </si>
  <si>
    <t>2020-GOODS-RFQ-067</t>
  </si>
  <si>
    <t>RFQ-L-PROCUREMENT OF ICT EQUIPMENT AND COMMUNICATI</t>
  </si>
  <si>
    <t>06-00760</t>
  </si>
  <si>
    <t>20-06209PR</t>
  </si>
  <si>
    <t>2020-05-12</t>
  </si>
  <si>
    <t>20-06-048</t>
  </si>
  <si>
    <t>20</t>
  </si>
  <si>
    <t>bcnhs00153</t>
  </si>
  <si>
    <t>5788-clsu-2020</t>
  </si>
  <si>
    <t>2LSSM2020A-212</t>
  </si>
  <si>
    <t>2020-PR-65-CAR</t>
  </si>
  <si>
    <t>SAZ-2020-06-004</t>
  </si>
  <si>
    <t>CNSCMEDICALSUP2020</t>
  </si>
  <si>
    <t>1426</t>
  </si>
  <si>
    <t>100(01)20-06-361(A)</t>
  </si>
  <si>
    <t>2020 Ma. Carirada 13</t>
  </si>
  <si>
    <t>RFQ-184-2020</t>
  </si>
  <si>
    <t>CBT-QMS-2nd-SA-2020</t>
  </si>
  <si>
    <t>QSU-BAC-F-11-2020</t>
  </si>
  <si>
    <t>N2FB-310-2019(2020)</t>
  </si>
  <si>
    <t>062420</t>
  </si>
  <si>
    <t>AMP-RFQ 2020-040</t>
  </si>
  <si>
    <t>PR2020-06-024</t>
  </si>
  <si>
    <t>00061</t>
  </si>
  <si>
    <t>INFRASIB-2020-14</t>
  </si>
  <si>
    <t>2020-06-051-D</t>
  </si>
  <si>
    <t>20-06-049</t>
  </si>
  <si>
    <t>20-06-04-0071</t>
  </si>
  <si>
    <t>2020-06-128</t>
  </si>
  <si>
    <t>SH-016-2020</t>
  </si>
  <si>
    <t>RFQ-2020-07_read and bill</t>
  </si>
  <si>
    <t>HSG-2020-02-047</t>
  </si>
  <si>
    <t>1523</t>
  </si>
  <si>
    <t>100(18)20-06-359(O)</t>
  </si>
  <si>
    <t>546-2020</t>
  </si>
  <si>
    <t>N-142-2020</t>
  </si>
  <si>
    <t>20GIE0010</t>
  </si>
  <si>
    <t>06-2020-005</t>
  </si>
  <si>
    <t>2020 Kabalantian 3</t>
  </si>
  <si>
    <t>PB-INF-001-2020</t>
  </si>
  <si>
    <t>100-2004-324-GF</t>
  </si>
  <si>
    <t>2020-19</t>
  </si>
  <si>
    <t>R.F.Q. (P.R. No.) 20-06-88</t>
  </si>
  <si>
    <t>H1BCT-NAF-08-2020</t>
  </si>
  <si>
    <t>R3-2020-05-011</t>
  </si>
  <si>
    <t>100(18)20-06-360(O)</t>
  </si>
  <si>
    <t>2020-64</t>
  </si>
  <si>
    <t>2020-PR-64-CAR</t>
  </si>
  <si>
    <t>2020-025 CDO</t>
  </si>
  <si>
    <t>0624202001</t>
  </si>
  <si>
    <t>2020-0623-36G</t>
  </si>
  <si>
    <t>2020-BCA. CAT. NORTE- 001</t>
  </si>
  <si>
    <t>N-139-2020</t>
  </si>
  <si>
    <t>PB-G-001-2020</t>
  </si>
  <si>
    <t>VW1-20-06-023</t>
  </si>
  <si>
    <t>P.R. # 20-06-060</t>
  </si>
  <si>
    <t>Bid No. 20-0276</t>
  </si>
  <si>
    <t>PR2020-06-025</t>
  </si>
  <si>
    <t>BFAR IV-A.PR20-0315</t>
  </si>
  <si>
    <t>016</t>
  </si>
  <si>
    <t>252-878-056-000</t>
  </si>
  <si>
    <t>547-2020</t>
  </si>
  <si>
    <t>PENRO-BUK.-20-040</t>
  </si>
  <si>
    <t>Implementing Rules and Regulations</t>
  </si>
  <si>
    <t>Others</t>
  </si>
  <si>
    <t>ADB Procurement Guidelines</t>
  </si>
  <si>
    <t>WB Procurement Guidelines</t>
  </si>
  <si>
    <t>Public Bidding</t>
  </si>
  <si>
    <t>Negotiated Procurement - Small Value Procurement (Sec. 53.9)</t>
  </si>
  <si>
    <t>Shopping</t>
  </si>
  <si>
    <t>Shopping - Ordinary/Regular Office Supplies &amp; Equipment (Sec. 52.1.b)</t>
  </si>
  <si>
    <t>Negotiated Procurement - NGO Participation (Sec. 53.11)</t>
  </si>
  <si>
    <t>Negotiated Procurement - Two Failed Biddings (Sec. 53.1)</t>
  </si>
  <si>
    <t>Goods</t>
  </si>
  <si>
    <t>Civil Works</t>
  </si>
  <si>
    <t>Consulting Services</t>
  </si>
  <si>
    <t>Goods - General Support Services</t>
  </si>
  <si>
    <t>Vehicles</t>
  </si>
  <si>
    <t>Construction Materials and Supplies</t>
  </si>
  <si>
    <t>Water Service Connection Materials/Fittings</t>
  </si>
  <si>
    <t>Construction Projects</t>
  </si>
  <si>
    <t>Fuels/Fuel Additives &amp; Lubricants &amp; Anti Corrosive</t>
  </si>
  <si>
    <t>Electrical Supplies</t>
  </si>
  <si>
    <t>Office Supplies and Devices</t>
  </si>
  <si>
    <t>Sporting Goods</t>
  </si>
  <si>
    <t>General Merchandise</t>
  </si>
  <si>
    <t>Signage and Accessories</t>
  </si>
  <si>
    <t>Water and Waste Water Treatment Supply &amp; Disposal</t>
  </si>
  <si>
    <t>Vehicle Parts and Accessories</t>
  </si>
  <si>
    <t>Vehicle Repair and Maintenance</t>
  </si>
  <si>
    <t>Janitorial Supplies</t>
  </si>
  <si>
    <t>Veterinary Products and Supplies</t>
  </si>
  <si>
    <t>Garments</t>
  </si>
  <si>
    <t>Information Technology Parts &amp; Accessories &amp; Perip</t>
  </si>
  <si>
    <t>Fire Fighting &amp; Rescue and Safety Equipment</t>
  </si>
  <si>
    <t>Airconditioning and Airconditioning Systems</t>
  </si>
  <si>
    <t>Medical Supplies and Laboratory Instrument</t>
  </si>
  <si>
    <t>Furniture</t>
  </si>
  <si>
    <t>Hotel and Lodging and Meeting Facilities</t>
  </si>
  <si>
    <t>Audio and Visual Equipment</t>
  </si>
  <si>
    <t>Hardware and Construction Supplies</t>
  </si>
  <si>
    <t>Office Equipment</t>
  </si>
  <si>
    <t>Environmental Health/Safety Equipment</t>
  </si>
  <si>
    <t>Educational Materials and Supplies</t>
  </si>
  <si>
    <t>Systems Integration</t>
  </si>
  <si>
    <t>Food Stuff</t>
  </si>
  <si>
    <t>Communication Equipment &amp; Parts and Accessories</t>
  </si>
  <si>
    <t>Drugs and Medicines</t>
  </si>
  <si>
    <t>Diagnostic and Laboratory Services</t>
  </si>
  <si>
    <t>Information Technology</t>
  </si>
  <si>
    <t>Appliances</t>
  </si>
  <si>
    <t>Security Surveillance and Detection Equipment</t>
  </si>
  <si>
    <t>Agricultural Machinery and Equipment</t>
  </si>
  <si>
    <t>Machine Tools</t>
  </si>
  <si>
    <t>Grocery Items</t>
  </si>
  <si>
    <t>Fertilizers</t>
  </si>
  <si>
    <t>Services</t>
  </si>
  <si>
    <t>Paper Materials and Products</t>
  </si>
  <si>
    <t>Waste Management and Recycling</t>
  </si>
  <si>
    <t>Agricultural Products (Seeds, Seedlings, Plants..)</t>
  </si>
  <si>
    <t>Kitchenware</t>
  </si>
  <si>
    <t>Bedclothes, Linens and Towels</t>
  </si>
  <si>
    <t>Laboratory Supplies and Equipment</t>
  </si>
  <si>
    <t>Catering Services</t>
  </si>
  <si>
    <t>Office Equipment Supplies and Consumables</t>
  </si>
  <si>
    <t>Photographic Parts, Supplies and Accessories</t>
  </si>
  <si>
    <t>Medical and Dental Equipment</t>
  </si>
  <si>
    <t>Safety and Occupational Products</t>
  </si>
  <si>
    <t>Printing Services</t>
  </si>
  <si>
    <t>Agricultural Chemicals</t>
  </si>
  <si>
    <t>Communication Equipment</t>
  </si>
  <si>
    <t>General Repair and Maintenance Services</t>
  </si>
  <si>
    <t>Hospital / Medical Equipment</t>
  </si>
  <si>
    <t>Timepieces and Jewelry and Gemstone Products</t>
  </si>
  <si>
    <t>Funeral and Associated Services</t>
  </si>
  <si>
    <t>Electrical Systems and Lighting Components</t>
  </si>
  <si>
    <t>Arts and Crafts Accessories and Supplies</t>
  </si>
  <si>
    <t>Printing Supplies</t>
  </si>
  <si>
    <t>Industrial Machinery and Equipment</t>
  </si>
  <si>
    <t>Animal Feeds</t>
  </si>
  <si>
    <t>Landscaping Services</t>
  </si>
  <si>
    <t>Advertising Agency Services</t>
  </si>
  <si>
    <t>Security Services</t>
  </si>
  <si>
    <t>Fixtures</t>
  </si>
  <si>
    <t>Construction Equipment</t>
  </si>
  <si>
    <t>Packaging Supplies and Materials</t>
  </si>
  <si>
    <t>Textiles</t>
  </si>
  <si>
    <t>Plastic Products</t>
  </si>
  <si>
    <t>Well Drilling and Construction Services</t>
  </si>
  <si>
    <t>Live Animals (Livestock, Birds, Live fish &amp; etc..)</t>
  </si>
  <si>
    <t>Newspapers</t>
  </si>
  <si>
    <t>Industrial pumps and compressors</t>
  </si>
  <si>
    <t>Chemicals and Chemical Products</t>
  </si>
  <si>
    <t>Books, Maps and Other Publications</t>
  </si>
  <si>
    <t>Internet Services</t>
  </si>
  <si>
    <t>Furniture Parts and Accessories</t>
  </si>
  <si>
    <t>500,000.00</t>
  </si>
  <si>
    <t>105,800.00</t>
  </si>
  <si>
    <t>73,908.00</t>
  </si>
  <si>
    <t>1,000,000.00</t>
  </si>
  <si>
    <t>5,190,294.44</t>
  </si>
  <si>
    <t>669,573.35</t>
  </si>
  <si>
    <t>307,738.22</t>
  </si>
  <si>
    <t>900,000.00</t>
  </si>
  <si>
    <t>754,064.08</t>
  </si>
  <si>
    <t>80,000.00</t>
  </si>
  <si>
    <t>84,000.00</t>
  </si>
  <si>
    <t>404,595.00</t>
  </si>
  <si>
    <t>222,235.00</t>
  </si>
  <si>
    <t>100,000.00</t>
  </si>
  <si>
    <t>440,963.60</t>
  </si>
  <si>
    <t>1,500,000.00</t>
  </si>
  <si>
    <t>461,526.00</t>
  </si>
  <si>
    <t>61,600.00</t>
  </si>
  <si>
    <t>856,000.00</t>
  </si>
  <si>
    <t>90,000.00</t>
  </si>
  <si>
    <t>160,000.00</t>
  </si>
  <si>
    <t>186,175.00</t>
  </si>
  <si>
    <t>82,000.00</t>
  </si>
  <si>
    <t>96,040.00</t>
  </si>
  <si>
    <t>96,000.00</t>
  </si>
  <si>
    <t>130,000.00</t>
  </si>
  <si>
    <t>186,135.00</t>
  </si>
  <si>
    <t>220,000.00</t>
  </si>
  <si>
    <t>134,300.00</t>
  </si>
  <si>
    <t>186,400.00</t>
  </si>
  <si>
    <t>915,017.87</t>
  </si>
  <si>
    <t>51,520.00</t>
  </si>
  <si>
    <t>186,000.00</t>
  </si>
  <si>
    <t>99,250.00</t>
  </si>
  <si>
    <t>74,900.00</t>
  </si>
  <si>
    <t>186,230.00</t>
  </si>
  <si>
    <t>97,800.00</t>
  </si>
  <si>
    <t>64,080.00</t>
  </si>
  <si>
    <t>206,750.00</t>
  </si>
  <si>
    <t>1,294,460.71</t>
  </si>
  <si>
    <t>370,000.00</t>
  </si>
  <si>
    <t>1,999,470.00</t>
  </si>
  <si>
    <t>180,000.00</t>
  </si>
  <si>
    <t>242,200.00</t>
  </si>
  <si>
    <t>52,000.00</t>
  </si>
  <si>
    <t>186,250.00</t>
  </si>
  <si>
    <t>694,800.00</t>
  </si>
  <si>
    <t>507,489.02</t>
  </si>
  <si>
    <t>486,000.00</t>
  </si>
  <si>
    <t>226,800.00</t>
  </si>
  <si>
    <t>217,000.00</t>
  </si>
  <si>
    <t>1,600,000.00</t>
  </si>
  <si>
    <t>300,000.00</t>
  </si>
  <si>
    <t>705,173.00</t>
  </si>
  <si>
    <t>276,180.00</t>
  </si>
  <si>
    <t>2,000,000.00</t>
  </si>
  <si>
    <t>157,841.00</t>
  </si>
  <si>
    <t>207,100.00</t>
  </si>
  <si>
    <t>212,467.27</t>
  </si>
  <si>
    <t>38,160.00</t>
  </si>
  <si>
    <t>159,965.00</t>
  </si>
  <si>
    <t>17,831,711.54</t>
  </si>
  <si>
    <t>400,000.00</t>
  </si>
  <si>
    <t>369,264.27</t>
  </si>
  <si>
    <t>6,399,951.02</t>
  </si>
  <si>
    <t>1,491,783.30</t>
  </si>
  <si>
    <t>147,258.00</t>
  </si>
  <si>
    <t>199,471.79</t>
  </si>
  <si>
    <t>83,000.00</t>
  </si>
  <si>
    <t>150,000.00</t>
  </si>
  <si>
    <t>75,555.00</t>
  </si>
  <si>
    <t>2,434,000.00</t>
  </si>
  <si>
    <t>890,000.00</t>
  </si>
  <si>
    <t>243,310.00</t>
  </si>
  <si>
    <t>908,700.00</t>
  </si>
  <si>
    <t>46,250.00</t>
  </si>
  <si>
    <t>250,120.00</t>
  </si>
  <si>
    <t>446,800.00</t>
  </si>
  <si>
    <t>137,387.79</t>
  </si>
  <si>
    <t>116,680.00</t>
  </si>
  <si>
    <t>482,069.50</t>
  </si>
  <si>
    <t>261,000.00</t>
  </si>
  <si>
    <t>1,999,605.40</t>
  </si>
  <si>
    <t>144,750,000.00</t>
  </si>
  <si>
    <t>1,745,000.00</t>
  </si>
  <si>
    <t>532,440.00</t>
  </si>
  <si>
    <t>915,080.00</t>
  </si>
  <si>
    <t>4,100,000.00</t>
  </si>
  <si>
    <t>830,125.50</t>
  </si>
  <si>
    <t>193,000,000.00</t>
  </si>
  <si>
    <t>199,898.00</t>
  </si>
  <si>
    <t>496,692.00</t>
  </si>
  <si>
    <t>618,000.00</t>
  </si>
  <si>
    <t>990,000.00</t>
  </si>
  <si>
    <t>176,492.00</t>
  </si>
  <si>
    <t>65,000.00</t>
  </si>
  <si>
    <t>749,893.21</t>
  </si>
  <si>
    <t>794,182.00</t>
  </si>
  <si>
    <t>361,875,000.00</t>
  </si>
  <si>
    <t>2,499,998.00</t>
  </si>
  <si>
    <t>462,176.00</t>
  </si>
  <si>
    <t>482,640.00</t>
  </si>
  <si>
    <t>290,996.90</t>
  </si>
  <si>
    <t>810,600,000.00</t>
  </si>
  <si>
    <t>492,053,500.00</t>
  </si>
  <si>
    <t>272,950.00</t>
  </si>
  <si>
    <t>482,500,000.00</t>
  </si>
  <si>
    <t>284,750.00</t>
  </si>
  <si>
    <t>212,239.22</t>
  </si>
  <si>
    <t>156,960.00</t>
  </si>
  <si>
    <t>382,825,150.00</t>
  </si>
  <si>
    <t>189,630.00</t>
  </si>
  <si>
    <t>122,525.00</t>
  </si>
  <si>
    <t>170,693.50</t>
  </si>
  <si>
    <t>5,970,000.00</t>
  </si>
  <si>
    <t>579,937.80</t>
  </si>
  <si>
    <t>290,999.03</t>
  </si>
  <si>
    <t>413,888,500.00</t>
  </si>
  <si>
    <t>117,509.00</t>
  </si>
  <si>
    <t>630,413.06</t>
  </si>
  <si>
    <t>675,473.14</t>
  </si>
  <si>
    <t>1,999,850.00</t>
  </si>
  <si>
    <t>336,000.00</t>
  </si>
  <si>
    <t>280,795,700.00</t>
  </si>
  <si>
    <t>431,075,150.00</t>
  </si>
  <si>
    <t>390,825,000.00</t>
  </si>
  <si>
    <t>99,800.00</t>
  </si>
  <si>
    <t>299,987.88</t>
  </si>
  <si>
    <t>289,500,000.00</t>
  </si>
  <si>
    <t>64,000.00</t>
  </si>
  <si>
    <t>560,000.00</t>
  </si>
  <si>
    <t>298,993,670.00</t>
  </si>
  <si>
    <t>116,055.00</t>
  </si>
  <si>
    <t>62,830.00</t>
  </si>
  <si>
    <t>40,838.00</t>
  </si>
  <si>
    <t>694,020.00</t>
  </si>
  <si>
    <t>499,996.17</t>
  </si>
  <si>
    <t>126,267.00</t>
  </si>
  <si>
    <t>2,043,334.70</t>
  </si>
  <si>
    <t>2,334,842.40</t>
  </si>
  <si>
    <t>976,840.09</t>
  </si>
  <si>
    <t>20,812,518.12</t>
  </si>
  <si>
    <t>51,000.00</t>
  </si>
  <si>
    <t>339,000.00</t>
  </si>
  <si>
    <t>5,989,870.51</t>
  </si>
  <si>
    <t>370,252.72</t>
  </si>
  <si>
    <t>45,850.00</t>
  </si>
  <si>
    <t>9,989,474.82</t>
  </si>
  <si>
    <t>502,500.00</t>
  </si>
  <si>
    <t>7,497,552.75</t>
  </si>
  <si>
    <t>2,500,000.00</t>
  </si>
  <si>
    <t>608,000.00</t>
  </si>
  <si>
    <t>67,495.00</t>
  </si>
  <si>
    <t>3,800,000.00</t>
  </si>
  <si>
    <t>5,498,543.86</t>
  </si>
  <si>
    <t>550,000.00</t>
  </si>
  <si>
    <t>199,872.00</t>
  </si>
  <si>
    <t>13,497,972.61</t>
  </si>
  <si>
    <t>19,995.00</t>
  </si>
  <si>
    <t>45,000,000.00</t>
  </si>
  <si>
    <t>8,498,698.32</t>
  </si>
  <si>
    <t>257,745.00</t>
  </si>
  <si>
    <t>13,498,752.22</t>
  </si>
  <si>
    <t>13,498,528.82</t>
  </si>
  <si>
    <t>132,290.00</t>
  </si>
  <si>
    <t>4,989,794.65</t>
  </si>
  <si>
    <t>2,680,000.00</t>
  </si>
  <si>
    <t>9,989,744.50</t>
  </si>
  <si>
    <t>9,989,806.52</t>
  </si>
  <si>
    <t>615,000.00</t>
  </si>
  <si>
    <t>211,200.00</t>
  </si>
  <si>
    <t>936,294.50</t>
  </si>
  <si>
    <t>2,818,868.00</t>
  </si>
  <si>
    <t>438,104.33</t>
  </si>
  <si>
    <t>135,205.00</t>
  </si>
  <si>
    <t>11,000,000.00</t>
  </si>
  <si>
    <t>600,680.00</t>
  </si>
  <si>
    <t>9,989,993.80</t>
  </si>
  <si>
    <t>1,990,000.00</t>
  </si>
  <si>
    <t>7,000,000.00</t>
  </si>
  <si>
    <t>434,600.00</t>
  </si>
  <si>
    <t>112,866.00</t>
  </si>
  <si>
    <t>374,990.00</t>
  </si>
  <si>
    <t>319,995.00</t>
  </si>
  <si>
    <t>192,000.00</t>
  </si>
  <si>
    <t>147,500.00</t>
  </si>
  <si>
    <t>474,001.00</t>
  </si>
  <si>
    <t>158,174.00</t>
  </si>
  <si>
    <t>811,405.00</t>
  </si>
  <si>
    <t>380,770.00</t>
  </si>
  <si>
    <t>81,173.00</t>
  </si>
  <si>
    <t>746,852.00</t>
  </si>
  <si>
    <t>3,000,000.00</t>
  </si>
  <si>
    <t>461,900.00</t>
  </si>
  <si>
    <t>256,927.00</t>
  </si>
  <si>
    <t>70,000.00</t>
  </si>
  <si>
    <t>89,500.00</t>
  </si>
  <si>
    <t>151,592.94</t>
  </si>
  <si>
    <t>362,271.00</t>
  </si>
  <si>
    <t>1,400,000.00</t>
  </si>
  <si>
    <t>1,300,000.00</t>
  </si>
  <si>
    <t>196,000.00</t>
  </si>
  <si>
    <t>378,304.00</t>
  </si>
  <si>
    <t>1,338,660.00</t>
  </si>
  <si>
    <t>305,000.00</t>
  </si>
  <si>
    <t>201,398,962.47</t>
  </si>
  <si>
    <t>45,550.00</t>
  </si>
  <si>
    <t>89,476.00</t>
  </si>
  <si>
    <t>300,950.00</t>
  </si>
  <si>
    <t>3,500,000.00</t>
  </si>
  <si>
    <t>1,150,000.00</t>
  </si>
  <si>
    <t>368,425.00</t>
  </si>
  <si>
    <t>979,929.83</t>
  </si>
  <si>
    <t>350,000.00</t>
  </si>
  <si>
    <t>5,300,000.00</t>
  </si>
  <si>
    <t>75,000.00</t>
  </si>
  <si>
    <t>957,985.00</t>
  </si>
  <si>
    <t>112,000.00</t>
  </si>
  <si>
    <t>967,604.44</t>
  </si>
  <si>
    <t>499,950.00</t>
  </si>
  <si>
    <t>977,913.00</t>
  </si>
  <si>
    <t>647,435.33</t>
  </si>
  <si>
    <t>9,491,304.70</t>
  </si>
  <si>
    <t>621,984.40</t>
  </si>
  <si>
    <t>58,725.00</t>
  </si>
  <si>
    <t>394,100.00</t>
  </si>
  <si>
    <t>821,095.50</t>
  </si>
  <si>
    <t>1,499,999.27</t>
  </si>
  <si>
    <t>1,968,139.45</t>
  </si>
  <si>
    <t>1,485,069.68</t>
  </si>
  <si>
    <t>1,590,662.79</t>
  </si>
  <si>
    <t>133,360.00</t>
  </si>
  <si>
    <t>1,468,393.66</t>
  </si>
  <si>
    <t>4,000.00</t>
  </si>
  <si>
    <t>28,688.00</t>
  </si>
  <si>
    <t>1,828,498.50</t>
  </si>
  <si>
    <t>2,700,000.00</t>
  </si>
  <si>
    <t>540,153.87</t>
  </si>
  <si>
    <t>1,741,932.00</t>
  </si>
  <si>
    <t>138,211.80</t>
  </si>
  <si>
    <t>616,049.76</t>
  </si>
  <si>
    <t>79,600.00</t>
  </si>
  <si>
    <t>838,112.88</t>
  </si>
  <si>
    <t>97,997.00</t>
  </si>
  <si>
    <t>60,150.00</t>
  </si>
  <si>
    <t>65,704.10</t>
  </si>
  <si>
    <t>593,140.00</t>
  </si>
  <si>
    <t>533,050.00</t>
  </si>
  <si>
    <t>3,675,000.00</t>
  </si>
  <si>
    <t>498,000.00</t>
  </si>
  <si>
    <t>945,500.00</t>
  </si>
  <si>
    <t>702,175.00</t>
  </si>
  <si>
    <t>702,365.85</t>
  </si>
  <si>
    <t>37,000,000.00</t>
  </si>
  <si>
    <t>204,000.00</t>
  </si>
  <si>
    <t>3,608,090.04</t>
  </si>
  <si>
    <t>865,000.00</t>
  </si>
  <si>
    <t>4,999,032.16</t>
  </si>
  <si>
    <t>128,600.00</t>
  </si>
  <si>
    <t>499,947.00</t>
  </si>
  <si>
    <t>59,999.61</t>
  </si>
  <si>
    <t>107,000.00</t>
  </si>
  <si>
    <t>218,500.00</t>
  </si>
  <si>
    <t>136,725.00</t>
  </si>
  <si>
    <t>52,700.00</t>
  </si>
  <si>
    <t>103,750.00</t>
  </si>
  <si>
    <t>62,500.00</t>
  </si>
  <si>
    <t>169,659.50</t>
  </si>
  <si>
    <t>285,000.00</t>
  </si>
  <si>
    <t>180,075.50</t>
  </si>
  <si>
    <t>337,400.00</t>
  </si>
  <si>
    <t>114,200.00</t>
  </si>
  <si>
    <t>207,800.00</t>
  </si>
  <si>
    <t>869,000.00</t>
  </si>
  <si>
    <t>200,000.00</t>
  </si>
  <si>
    <t>108,650.00</t>
  </si>
  <si>
    <t>137,711.00</t>
  </si>
  <si>
    <t>103,200.00</t>
  </si>
  <si>
    <t>69,660.00</t>
  </si>
  <si>
    <t>540,000.00</t>
  </si>
  <si>
    <t>60,000.00</t>
  </si>
  <si>
    <t>604,690.55</t>
  </si>
  <si>
    <t>879,608.60</t>
  </si>
  <si>
    <t>122,510.00</t>
  </si>
  <si>
    <t>196,200.00</t>
  </si>
  <si>
    <t>85,412.80</t>
  </si>
  <si>
    <t>1,153,554.00</t>
  </si>
  <si>
    <t>95,000.00</t>
  </si>
  <si>
    <t>289,140.00</t>
  </si>
  <si>
    <t>569,311.50</t>
  </si>
  <si>
    <t>537,000.00</t>
  </si>
  <si>
    <t>128,000.00</t>
  </si>
  <si>
    <t>214,000.00</t>
  </si>
  <si>
    <t>66,907.00</t>
  </si>
  <si>
    <t>20,153.00</t>
  </si>
  <si>
    <t>10,283,752.00</t>
  </si>
  <si>
    <t>2,999,938.17</t>
  </si>
  <si>
    <t>3,400.00</t>
  </si>
  <si>
    <t>528,000.00</t>
  </si>
  <si>
    <t>193,000.00</t>
  </si>
  <si>
    <t>694,250.00</t>
  </si>
  <si>
    <t>70,960.00</t>
  </si>
  <si>
    <t>165,000.00</t>
  </si>
  <si>
    <t>55,000.00</t>
  </si>
  <si>
    <t>179,722.40</t>
  </si>
  <si>
    <t>2,800,000.00</t>
  </si>
  <si>
    <t>293,000.00</t>
  </si>
  <si>
    <t>873,500.00</t>
  </si>
  <si>
    <t>293,875.00</t>
  </si>
  <si>
    <t>120,000.00</t>
  </si>
  <si>
    <t>275,000.00</t>
  </si>
  <si>
    <t>257,982.00</t>
  </si>
  <si>
    <t>229,122.00</t>
  </si>
  <si>
    <t>999,000.00</t>
  </si>
  <si>
    <t>7,500.00</t>
  </si>
  <si>
    <t>33,560.00</t>
  </si>
  <si>
    <t>104,400.00</t>
  </si>
  <si>
    <t>99,375.00</t>
  </si>
  <si>
    <t>107,500.00</t>
  </si>
  <si>
    <t>54,050.00</t>
  </si>
  <si>
    <t>250,000.00</t>
  </si>
  <si>
    <t>187,500.00</t>
  </si>
  <si>
    <t>453,000.00</t>
  </si>
  <si>
    <t>1,955,818.63</t>
  </si>
  <si>
    <t>73,000.00</t>
  </si>
  <si>
    <t>132,000.00</t>
  </si>
  <si>
    <t>510.00</t>
  </si>
  <si>
    <t>170,380.00</t>
  </si>
  <si>
    <t>58,000.00</t>
  </si>
  <si>
    <t>232,835.95</t>
  </si>
  <si>
    <t>50,637.00</t>
  </si>
  <si>
    <t>3,500.00</t>
  </si>
  <si>
    <t>552,196.00</t>
  </si>
  <si>
    <t>359,540.00</t>
  </si>
  <si>
    <t>121,500.00</t>
  </si>
  <si>
    <t>340,000.00</t>
  </si>
  <si>
    <t>135,000.00</t>
  </si>
  <si>
    <t>176,400.00</t>
  </si>
  <si>
    <t>27,000.00</t>
  </si>
  <si>
    <t>18,425,896.00</t>
  </si>
  <si>
    <t>140,200.00</t>
  </si>
  <si>
    <t>66,000.00</t>
  </si>
  <si>
    <t>1,991,506.36</t>
  </si>
  <si>
    <t>389,645.00</t>
  </si>
  <si>
    <t>78,750.00</t>
  </si>
  <si>
    <t>138,085.37</t>
  </si>
  <si>
    <t>41,362.00</t>
  </si>
  <si>
    <t>230,000.00</t>
  </si>
  <si>
    <t>191,000.00</t>
  </si>
  <si>
    <t>28,000.00</t>
  </si>
  <si>
    <t>1,129,182.00</t>
  </si>
  <si>
    <t>93,800.00</t>
  </si>
  <si>
    <t>89,950.00</t>
  </si>
  <si>
    <t>957,000.00</t>
  </si>
  <si>
    <t>837,773.50</t>
  </si>
  <si>
    <t>32,205.00</t>
  </si>
  <si>
    <t>81,922.00</t>
  </si>
  <si>
    <t>152,000.00</t>
  </si>
  <si>
    <t>4,086,775.00</t>
  </si>
  <si>
    <t>41,863.00</t>
  </si>
  <si>
    <t>60,500.00</t>
  </si>
  <si>
    <t>50,000.00</t>
  </si>
  <si>
    <t>83,500.00</t>
  </si>
  <si>
    <t>129,968.30</t>
  </si>
  <si>
    <t>126,000.00</t>
  </si>
  <si>
    <t>1,075,000.00</t>
  </si>
  <si>
    <t>146,640.00</t>
  </si>
  <si>
    <t>91,068.50</t>
  </si>
  <si>
    <t>255,000.00</t>
  </si>
  <si>
    <t>197,500.00</t>
  </si>
  <si>
    <t>54,250.00</t>
  </si>
  <si>
    <t>210,000.00</t>
  </si>
  <si>
    <t>22,800.00</t>
  </si>
  <si>
    <t>199,835.00</t>
  </si>
  <si>
    <t>52,735.00</t>
  </si>
  <si>
    <t>55,595.00</t>
  </si>
  <si>
    <t>194,038.00</t>
  </si>
  <si>
    <t>996,660.00</t>
  </si>
  <si>
    <t>140,000.00</t>
  </si>
  <si>
    <t>86,960.00</t>
  </si>
  <si>
    <t>276,380.00</t>
  </si>
  <si>
    <t>199,800.00</t>
  </si>
  <si>
    <t>544,990.57</t>
  </si>
  <si>
    <t>5,000,000.00</t>
  </si>
  <si>
    <t>9,050.00</t>
  </si>
  <si>
    <t>1,852,500.00</t>
  </si>
  <si>
    <t>158,203.00</t>
  </si>
  <si>
    <t>699,999.79</t>
  </si>
  <si>
    <t>106,100.00</t>
  </si>
  <si>
    <t>54,300.00</t>
  </si>
  <si>
    <t>69,605.00</t>
  </si>
  <si>
    <t>49,519.00</t>
  </si>
  <si>
    <t>73,485.00</t>
  </si>
  <si>
    <t>207,505.00</t>
  </si>
  <si>
    <t>12,000,000.00</t>
  </si>
  <si>
    <t>164,130.00</t>
  </si>
  <si>
    <t>99,000.00</t>
  </si>
  <si>
    <t>55,122.32</t>
  </si>
  <si>
    <t>134,012.00</t>
  </si>
  <si>
    <t>101,000.00</t>
  </si>
  <si>
    <t>394,078.60</t>
  </si>
  <si>
    <t>175,000.00</t>
  </si>
  <si>
    <t>54,201.57</t>
  </si>
  <si>
    <t>45,000.00</t>
  </si>
  <si>
    <t>75,600.00</t>
  </si>
  <si>
    <t>137,705.00</t>
  </si>
  <si>
    <t>269,500.00</t>
  </si>
  <si>
    <t>302,618.00</t>
  </si>
  <si>
    <t>94,000.00</t>
  </si>
  <si>
    <t>637,342.79</t>
  </si>
  <si>
    <t>384,000.00</t>
  </si>
  <si>
    <t>4,400.00</t>
  </si>
  <si>
    <t>132,254.00</t>
  </si>
  <si>
    <t>800,000.00</t>
  </si>
  <si>
    <t>28,422.00</t>
  </si>
  <si>
    <t>21,425.00</t>
  </si>
  <si>
    <t>460,430.00</t>
  </si>
  <si>
    <t>15,000.00</t>
  </si>
  <si>
    <t>141,250.00</t>
  </si>
  <si>
    <t>240,000.00</t>
  </si>
  <si>
    <t>2,111,220.00</t>
  </si>
  <si>
    <t>56,335.00</t>
  </si>
  <si>
    <t>78,659.60</t>
  </si>
  <si>
    <t>67,750.00</t>
  </si>
  <si>
    <t>192,440.00</t>
  </si>
  <si>
    <t>88,000.00</t>
  </si>
  <si>
    <t>91,190.00</t>
  </si>
  <si>
    <t>98,050.00</t>
  </si>
  <si>
    <t>18,190.00</t>
  </si>
  <si>
    <t>525,000.00</t>
  </si>
  <si>
    <t>407,500.00</t>
  </si>
  <si>
    <t>141,500.00</t>
  </si>
  <si>
    <t>922,000.00</t>
  </si>
  <si>
    <t>768,000.00</t>
  </si>
  <si>
    <t>132,300.00</t>
  </si>
  <si>
    <t>87,056.60</t>
  </si>
  <si>
    <t>580,000.00</t>
  </si>
  <si>
    <t>75,050.00</t>
  </si>
  <si>
    <t>142,180.00</t>
  </si>
  <si>
    <t>376,737.12</t>
  </si>
  <si>
    <t>136,000.00</t>
  </si>
  <si>
    <t>21,000.00</t>
  </si>
  <si>
    <t>92,000.00</t>
  </si>
  <si>
    <t>950,000.00</t>
  </si>
  <si>
    <t>20,000.00</t>
  </si>
  <si>
    <t>71,435.00</t>
  </si>
  <si>
    <t>380,000.00</t>
  </si>
  <si>
    <t>101,750.00</t>
  </si>
  <si>
    <t>29,360.00</t>
  </si>
  <si>
    <t>121,904.00</t>
  </si>
  <si>
    <t>1,532,725.00</t>
  </si>
  <si>
    <t>72,500.76</t>
  </si>
  <si>
    <t>72,180.00</t>
  </si>
  <si>
    <t>799,974.00</t>
  </si>
  <si>
    <t>477,529.99</t>
  </si>
  <si>
    <t>155,000.00</t>
  </si>
  <si>
    <t>7,982,034.21</t>
  </si>
  <si>
    <t>124,310.00</t>
  </si>
  <si>
    <t>92,943.00</t>
  </si>
  <si>
    <t>270,000.00</t>
  </si>
  <si>
    <t>58,400.00</t>
  </si>
  <si>
    <t>146,714.00</t>
  </si>
  <si>
    <t>637,300.00</t>
  </si>
  <si>
    <t>94,500.00</t>
  </si>
  <si>
    <t>69,447.00</t>
  </si>
  <si>
    <t>16,000,000.00</t>
  </si>
  <si>
    <t>53,768.00</t>
  </si>
  <si>
    <t>80,695.00</t>
  </si>
  <si>
    <t>86,885.28</t>
  </si>
  <si>
    <t>123,200.00</t>
  </si>
  <si>
    <t>2,933,314.12</t>
  </si>
  <si>
    <t>65,950.00</t>
  </si>
  <si>
    <t>1,219,460.00</t>
  </si>
  <si>
    <t>327,400.00</t>
  </si>
  <si>
    <t>165,300.00</t>
  </si>
  <si>
    <t>115,000,000.00</t>
  </si>
  <si>
    <t>88,207.30</t>
  </si>
  <si>
    <t>189,080.00</t>
  </si>
  <si>
    <t>64,536.00</t>
  </si>
  <si>
    <t>291,500.00</t>
  </si>
  <si>
    <t>180,672.00</t>
  </si>
  <si>
    <t>122,960.00</t>
  </si>
  <si>
    <t>17,000.00</t>
  </si>
  <si>
    <t>72,350.00</t>
  </si>
  <si>
    <t>50,900.00</t>
  </si>
  <si>
    <t>67,619.00</t>
  </si>
  <si>
    <t>144,975.00</t>
  </si>
  <si>
    <t>499,100.00</t>
  </si>
  <si>
    <t>189,975.00</t>
  </si>
  <si>
    <t>5,835,300.00</t>
  </si>
  <si>
    <t>225,000.00</t>
  </si>
  <si>
    <t>35,556.00</t>
  </si>
  <si>
    <t>2,114,000.00</t>
  </si>
  <si>
    <t>170,519.79</t>
  </si>
  <si>
    <t>2,400,000.00</t>
  </si>
  <si>
    <t>165,947.00</t>
  </si>
  <si>
    <t>7,660,617.43</t>
  </si>
  <si>
    <t>66,900.00</t>
  </si>
  <si>
    <t>108,000.00</t>
  </si>
  <si>
    <t>90,125.00</t>
  </si>
  <si>
    <t>405,600.00</t>
  </si>
  <si>
    <t>600,000.00</t>
  </si>
  <si>
    <t>385,500.00</t>
  </si>
  <si>
    <t>1,900,000.00</t>
  </si>
  <si>
    <t>62,000.00</t>
  </si>
  <si>
    <t>590,900.00</t>
  </si>
  <si>
    <t>143,821.08</t>
  </si>
  <si>
    <t>198,000.00</t>
  </si>
  <si>
    <t>111,650.00</t>
  </si>
  <si>
    <t>203,200.00</t>
  </si>
  <si>
    <t>222,192.00</t>
  </si>
  <si>
    <t>82,180.00</t>
  </si>
  <si>
    <t>826,111.89</t>
  </si>
  <si>
    <t>79,150.00</t>
  </si>
  <si>
    <t>170,261.00</t>
  </si>
  <si>
    <t>132,440.00</t>
  </si>
  <si>
    <t>123,000.00</t>
  </si>
  <si>
    <t>944,210.00</t>
  </si>
  <si>
    <t>172,350.00</t>
  </si>
  <si>
    <t>11,270,000.00</t>
  </si>
  <si>
    <t>159,900.00</t>
  </si>
  <si>
    <t>96,500.00</t>
  </si>
  <si>
    <t>105,882.00</t>
  </si>
  <si>
    <t>60,880.00</t>
  </si>
  <si>
    <t>242,000.00</t>
  </si>
  <si>
    <t>144,972.00</t>
  </si>
  <si>
    <t>206,100.00</t>
  </si>
  <si>
    <t>205,700.00</t>
  </si>
  <si>
    <t>99,720.00</t>
  </si>
  <si>
    <t>110,660.00</t>
  </si>
  <si>
    <t>65,124.84</t>
  </si>
  <si>
    <t>122,599.87</t>
  </si>
  <si>
    <t>128,567.25</t>
  </si>
  <si>
    <t>80,926.30</t>
  </si>
  <si>
    <t>68,540.00</t>
  </si>
  <si>
    <t>64,600.00</t>
  </si>
  <si>
    <t>151,469.00</t>
  </si>
  <si>
    <t>110,000.00</t>
  </si>
  <si>
    <t>53,240.00</t>
  </si>
  <si>
    <t>142,664.00</t>
  </si>
  <si>
    <t>84,600.00</t>
  </si>
  <si>
    <t>11,526,000.00</t>
  </si>
  <si>
    <t>39,000.00</t>
  </si>
  <si>
    <t>44,502.50</t>
  </si>
  <si>
    <t>204,380.00</t>
  </si>
  <si>
    <t>66,766.00</t>
  </si>
  <si>
    <t>242,500.00</t>
  </si>
  <si>
    <t>73,500.00</t>
  </si>
  <si>
    <t>45,251.00</t>
  </si>
  <si>
    <t>80,120.00</t>
  </si>
  <si>
    <t>35,000.00</t>
  </si>
  <si>
    <t>152,895.26</t>
  </si>
  <si>
    <t>88,500.00</t>
  </si>
  <si>
    <t>15 Day/s</t>
  </si>
  <si>
    <t>7 Day/s</t>
  </si>
  <si>
    <t>3 Day/s</t>
  </si>
  <si>
    <t>150 Day/s</t>
  </si>
  <si>
    <t>50 Day/s</t>
  </si>
  <si>
    <t>33 Day/s</t>
  </si>
  <si>
    <t>18 Day/s</t>
  </si>
  <si>
    <t>60 Day/s</t>
  </si>
  <si>
    <t>30 Day/s</t>
  </si>
  <si>
    <t>0 Day/s</t>
  </si>
  <si>
    <t>8 Day/s</t>
  </si>
  <si>
    <t>120 Day/s</t>
  </si>
  <si>
    <t>20 Day/s</t>
  </si>
  <si>
    <t>10 Day/s</t>
  </si>
  <si>
    <t>5 Day/s</t>
  </si>
  <si>
    <t>180 Day/s</t>
  </si>
  <si>
    <t>45 Day/s</t>
  </si>
  <si>
    <t>162 Day/s</t>
  </si>
  <si>
    <t>2 Month/s</t>
  </si>
  <si>
    <t>300 Day/s</t>
  </si>
  <si>
    <t>1 Year/s</t>
  </si>
  <si>
    <t>290 Day/s</t>
  </si>
  <si>
    <t>320 Day/s</t>
  </si>
  <si>
    <t>1 Day/s</t>
  </si>
  <si>
    <t>400 Day/s</t>
  </si>
  <si>
    <t>90 Day/s</t>
  </si>
  <si>
    <t>100 Day/s</t>
  </si>
  <si>
    <t>80 Day/s</t>
  </si>
  <si>
    <t>65 Day/s</t>
  </si>
  <si>
    <t>110 Day/s</t>
  </si>
  <si>
    <t>40 Day/s</t>
  </si>
  <si>
    <t>35 Day/s</t>
  </si>
  <si>
    <t>9 Day/s</t>
  </si>
  <si>
    <t>52 Day/s</t>
  </si>
  <si>
    <t>99 Day/s</t>
  </si>
  <si>
    <t>70 Day/s</t>
  </si>
  <si>
    <t>25 Day/s</t>
  </si>
  <si>
    <t>299 Day/s</t>
  </si>
  <si>
    <t>21 Day/s</t>
  </si>
  <si>
    <t>29 Day/s</t>
  </si>
  <si>
    <t>152 Day/s</t>
  </si>
  <si>
    <t>93 Day/s</t>
  </si>
  <si>
    <t>130 Day/s</t>
  </si>
  <si>
    <t>105 Day/s</t>
  </si>
  <si>
    <t>210 Day/s</t>
  </si>
  <si>
    <t>56 Day/s</t>
  </si>
  <si>
    <t>13 Day/s</t>
  </si>
  <si>
    <t>14 Day/s</t>
  </si>
  <si>
    <t>61 Day/s</t>
  </si>
  <si>
    <t>365 Day/s</t>
  </si>
  <si>
    <t>2 Day/s</t>
  </si>
  <si>
    <t>6 Month/s</t>
  </si>
  <si>
    <t>17 Day/s</t>
  </si>
  <si>
    <t>24 Day/s</t>
  </si>
  <si>
    <t>DEPARTMENT OF PUBLIC WORKS AND HIGHWAYS - COTABATO</t>
  </si>
  <si>
    <t>Rajie Moctao Fernando</t>
  </si>
  <si>
    <t>Charitie Dagsa Gabito</t>
  </si>
  <si>
    <t>Elna Bacayo Valenzuela</t>
  </si>
  <si>
    <t>CAROLINA C. UMIPIG</t>
  </si>
  <si>
    <t>Michael Ian Galleros Ceballos</t>
  </si>
  <si>
    <t>Hamza M. Boloto</t>
  </si>
  <si>
    <t>Remegio Lao Saniel</t>
  </si>
  <si>
    <t>Juneil L. Amarela</t>
  </si>
  <si>
    <t>Brgy. 09 Catbalogan</t>
  </si>
  <si>
    <t>Jonefe Gomez Ocasla</t>
  </si>
  <si>
    <t>Elizabeth B. Del Fin</t>
  </si>
  <si>
    <t>Jenet NEGRILLO PERIA</t>
  </si>
  <si>
    <t>Reynaldo C Bautista</t>
  </si>
  <si>
    <t>Roland Jason  Montejo</t>
  </si>
  <si>
    <t>Consuelo L. Tubis</t>
  </si>
  <si>
    <t>MARICHELLE FERRER</t>
  </si>
  <si>
    <t>Juliene Villanueva Godoy</t>
  </si>
  <si>
    <t>Danny Fernandez Cadalso</t>
  </si>
  <si>
    <t>Jovelyn I. Legaspi</t>
  </si>
  <si>
    <t>Joy Abonitalla Adecer</t>
  </si>
  <si>
    <t>GENE ACHAS BACULPO</t>
  </si>
  <si>
    <t>Christelyn A. Aguro</t>
  </si>
  <si>
    <t>DIONISIO TORIBIO GOMANTI COSTES</t>
  </si>
  <si>
    <t>Ademar R de Castro</t>
  </si>
  <si>
    <t>Wilson Merle Lopez</t>
  </si>
  <si>
    <t>Angeline G. Regalado</t>
  </si>
  <si>
    <t>Ronnie D. Morante</t>
  </si>
  <si>
    <t>JESUS JONJIE ADELANTAR VENTURANZA</t>
  </si>
  <si>
    <t>JOHN REY JERAO PEREZ</t>
  </si>
  <si>
    <t>Engr. Arnulfo F. Tena</t>
  </si>
  <si>
    <t>Tolentino Almedilla  Bellezas</t>
  </si>
  <si>
    <t>JANE MARIE KAREN LAMIGO CASINILLO</t>
  </si>
  <si>
    <t>RESTITUTO N. RENDAJE</t>
  </si>
  <si>
    <t>Ives M Ebrada</t>
  </si>
  <si>
    <t>Darryl Christian Rigos</t>
  </si>
  <si>
    <t>Joan Dela Cruz  Padua</t>
  </si>
  <si>
    <t>Blesilda P. Makabali</t>
  </si>
  <si>
    <t>Charito Tinio Mertens</t>
  </si>
  <si>
    <t>Norman Sta.Ana</t>
  </si>
  <si>
    <t>Luxmay P Aleria</t>
  </si>
  <si>
    <t>Judito Oposa Pegarro</t>
  </si>
  <si>
    <t>ARVIN B BELARDO</t>
  </si>
  <si>
    <t>Princess Davis Bonifacio</t>
  </si>
  <si>
    <t>Jeffreylhada Muallil Noor</t>
  </si>
  <si>
    <t>JONATHAN R. HIJADA</t>
  </si>
  <si>
    <t>KARLEEN R. DESTURA</t>
  </si>
  <si>
    <t>Novemer Tacang Tabasa</t>
  </si>
  <si>
    <t>MARIA LIZA GENADA RULL</t>
  </si>
  <si>
    <t>CONSUELO R. GEDUSPAN</t>
  </si>
  <si>
    <t>Roel U Durens</t>
  </si>
  <si>
    <t>IRVIN CAYAON ROLLUQUI</t>
  </si>
  <si>
    <t>MARJORIE ALVAREZ DELA CRUZ</t>
  </si>
  <si>
    <t>Rex Juarez</t>
  </si>
  <si>
    <t>Cynthia Eleonor Guno Manalo</t>
  </si>
  <si>
    <t>JOSEPH A. BUNAN</t>
  </si>
  <si>
    <t>Zenaida M. Cabiles</t>
  </si>
  <si>
    <t>Jesamine M. Mendi</t>
  </si>
  <si>
    <t>ROSELLER CABATINGAN AMOR</t>
  </si>
  <si>
    <t>MARGARITA LAGUADOR PLACINO</t>
  </si>
  <si>
    <t>FREDERICK B AGUIRRE</t>
  </si>
  <si>
    <t>Marivic Dupaya Quinto</t>
  </si>
  <si>
    <t>JONATHAN JOSE CERENO CALDERON</t>
  </si>
  <si>
    <t>REGIE BAES AGNO</t>
  </si>
  <si>
    <t>Andres R Avorque</t>
  </si>
  <si>
    <t>Rona Joy Ducut San Jose</t>
  </si>
  <si>
    <t>Mary Jane Elegio Malbas</t>
  </si>
  <si>
    <t>Jessie Bagtang Addag</t>
  </si>
  <si>
    <t>Melanie Sergio Pili</t>
  </si>
  <si>
    <t>Clark Benzon Lobo Casuco</t>
  </si>
  <si>
    <t>JOSE VICENTE RAYMUNDO MONTALLANA OPINION</t>
  </si>
  <si>
    <t>Cecille Angeline 09171477690 Lipardo</t>
  </si>
  <si>
    <t>Paulo D Barbon</t>
  </si>
  <si>
    <t>Robert Monis Aliga</t>
  </si>
  <si>
    <t>Joseph Dante D Develleres</t>
  </si>
  <si>
    <t>Michael Andrew Q Frias</t>
  </si>
  <si>
    <t>Eduardo T. Yu</t>
  </si>
  <si>
    <t>Peter Bautista</t>
  </si>
  <si>
    <t>VEMIE MONTEJO ESTOLOGA</t>
  </si>
  <si>
    <t>BENJAMIN TABLASON SAN JUAN</t>
  </si>
  <si>
    <t>Donald Glenn M Lanzado</t>
  </si>
  <si>
    <t>Milagros Lisboa Estadilla</t>
  </si>
  <si>
    <t>Engr. Joel Antonio</t>
  </si>
  <si>
    <t>Ma. Asherine Noscal Atienza</t>
  </si>
  <si>
    <t>JHOANNA RATIFICAR YANGCO</t>
  </si>
  <si>
    <t>LIVY POLIA DALA</t>
  </si>
  <si>
    <t>Joey Calimpusan Tonzo</t>
  </si>
  <si>
    <t>Lynnette L. Vanzuela</t>
  </si>
  <si>
    <t>Alan C. Santos</t>
  </si>
  <si>
    <t>Katherine  Paiso  De Vera</t>
  </si>
  <si>
    <t>Natalie Tinao Caparas</t>
  </si>
  <si>
    <t>Ferdinand B Caberoy</t>
  </si>
  <si>
    <t>Vivencia Lelis</t>
  </si>
  <si>
    <t>Mario Sordilla</t>
  </si>
  <si>
    <t>BERNARDITHA BOLINA MILLETE</t>
  </si>
  <si>
    <t>Lito Sebio Lam-osen</t>
  </si>
  <si>
    <t>Mary Ann A. Lazo</t>
  </si>
  <si>
    <t>Ruby E De Jong</t>
  </si>
  <si>
    <t>Ofelia Dimabuyo Napalit</t>
  </si>
  <si>
    <t>Marfen Guinmapang Corvera</t>
  </si>
  <si>
    <t>Melanie Estrella Abela</t>
  </si>
  <si>
    <t>Lester Mobreros Aringo</t>
  </si>
  <si>
    <t>COLEEN C LOMOLJO</t>
  </si>
  <si>
    <t>Carla Nuyad Remonde</t>
  </si>
  <si>
    <t>Jennita V Garcia</t>
  </si>
  <si>
    <t>Rhodeliza De Villa Penarroyo</t>
  </si>
  <si>
    <t>Julio Malanao Sampilo</t>
  </si>
  <si>
    <t>Jesus aleman zamoras</t>
  </si>
  <si>
    <t>Rosalie Plaza Espinoza</t>
  </si>
  <si>
    <t>Danny Familaran Baladjay</t>
  </si>
  <si>
    <t>Ritchie De La Cuesta Barrun</t>
  </si>
  <si>
    <t>Jose Nolito Castor Tomulto</t>
  </si>
  <si>
    <t>Expedito Magluyan Villaruz</t>
  </si>
  <si>
    <t>ELEONOR B PALACIO</t>
  </si>
  <si>
    <t>Letecia M. Jovenal M Jovenal</t>
  </si>
  <si>
    <t>bryan gallenero piadoche</t>
  </si>
  <si>
    <t>ANGELINA N QUINTANS GALON</t>
  </si>
  <si>
    <t>Alvin Crisostomo</t>
  </si>
  <si>
    <t>Blessilda May S.  Angeles</t>
  </si>
  <si>
    <t>Lydia Grueso Suguerra</t>
  </si>
  <si>
    <t>ROLANDO A DINGLASAN</t>
  </si>
  <si>
    <t>Jeffrey Celis Magadan</t>
  </si>
  <si>
    <t>ROSALIE N. MORALDE</t>
  </si>
  <si>
    <t>Manolito Magkilat Silagan</t>
  </si>
  <si>
    <t>MAJ GABRIEL D TAYKO (CE) PA</t>
  </si>
  <si>
    <t>Oliver Ted Castillo Orsolino</t>
  </si>
  <si>
    <t>Andy Ralfh Villafuerte Conocono</t>
  </si>
  <si>
    <t>Leonila Espino Maniwang</t>
  </si>
  <si>
    <t>Natalie T. Binayan</t>
  </si>
  <si>
    <t>Norma Capate Laure</t>
  </si>
  <si>
    <t>Eduardo Sanchez</t>
  </si>
  <si>
    <t>Ma. Cristina L Garcia</t>
  </si>
  <si>
    <t>Miguelito A. Ogania</t>
  </si>
  <si>
    <t>MARINA VILLANUEVA</t>
  </si>
  <si>
    <t>ERVIN PAGE SALANG</t>
  </si>
  <si>
    <t>Doreen A. Lugo</t>
  </si>
  <si>
    <t>Michael Trasmil Ibisate</t>
  </si>
  <si>
    <t>LOURENCE C. BUENAVENTURA</t>
  </si>
  <si>
    <t>Dennis Policarpio Garcia</t>
  </si>
  <si>
    <t>Norma C. Sarigumba</t>
  </si>
  <si>
    <t>Florinda Z Babilonia</t>
  </si>
  <si>
    <t>Aries C. Tang</t>
  </si>
  <si>
    <t>Mary Ann Vasquez Alvarez</t>
  </si>
  <si>
    <t>Cecille  Agpalo</t>
  </si>
  <si>
    <t>Jupalyn Laderas Benedicto</t>
  </si>
  <si>
    <t>LEVY H. LAGUTIN, JR.</t>
  </si>
  <si>
    <t>Romeo Emmanuel II C. Yarcia</t>
  </si>
  <si>
    <t>ANNE MARGARETT A. BORNASAL</t>
  </si>
  <si>
    <t>Rogerio Cagas Acle</t>
  </si>
  <si>
    <t>cipriano t cavite</t>
  </si>
  <si>
    <t>Ambrocio Zapata Azares</t>
  </si>
  <si>
    <t>Melinda Devesa Lonceras</t>
  </si>
  <si>
    <t>Charlemagne Fetil Fortu</t>
  </si>
  <si>
    <t>Keith Jordan M. Cabrera</t>
  </si>
  <si>
    <t>Rosanna P. Lucero</t>
  </si>
  <si>
    <t>HERIBERTO AROCENA TOMAS</t>
  </si>
  <si>
    <t>JOEBAEL D MOHAMAD</t>
  </si>
  <si>
    <t>Russell C Narte</t>
  </si>
  <si>
    <t>EDWIN REYES</t>
  </si>
  <si>
    <t>SOFRONIO B. DACILLO, JR.</t>
  </si>
  <si>
    <t>Ramon Gamboa Burgos</t>
  </si>
  <si>
    <t>Allen G Candaliza</t>
  </si>
  <si>
    <t>Donato Panaligan</t>
  </si>
  <si>
    <t>Remigio Lago Blanco</t>
  </si>
  <si>
    <t>Fernando Espinoza Lopez</t>
  </si>
  <si>
    <t>Jorgen H. Buzon</t>
  </si>
  <si>
    <t>Magna Ramos Macalma</t>
  </si>
  <si>
    <t>Epifanio D. Villasorca</t>
  </si>
  <si>
    <t>Jed F. Fajarit</t>
  </si>
  <si>
    <t>Editha D. Cruz</t>
  </si>
  <si>
    <t>Bernard Sepe Magbanua</t>
  </si>
  <si>
    <t>Sheila mae  Alpon  Carpentero</t>
  </si>
  <si>
    <t>Alejo Jr. M Nunez</t>
  </si>
  <si>
    <t>Andrew Ian Bulda Dormitorio</t>
  </si>
  <si>
    <t>Maria Theresa Estella Caasi</t>
  </si>
  <si>
    <t>Janice L Sta. Cruz</t>
  </si>
  <si>
    <t>Joel B. Elloso</t>
  </si>
  <si>
    <t>J0evir S. Gentuli0</t>
  </si>
  <si>
    <t>Juliet Elaine Acuna</t>
  </si>
  <si>
    <t>Josephine  B. Sabando</t>
  </si>
  <si>
    <t>Jesus Rey Serna Cavalida</t>
  </si>
  <si>
    <t>Shirley L De Guzman</t>
  </si>
  <si>
    <t>Joel Sampaga Columna</t>
  </si>
  <si>
    <t>Adelfa Tiongco Lamangin</t>
  </si>
  <si>
    <t>JONEFE GOMEZ OCASLA</t>
  </si>
  <si>
    <t>Jennifer Ducusin Flores</t>
  </si>
  <si>
    <t>EMMA SALTIGA ROSALES</t>
  </si>
  <si>
    <t>Ethel Joy Domingo Invencion</t>
  </si>
  <si>
    <t>Ma. Yvonne  Domanais/ C Shalie  Coralde</t>
  </si>
  <si>
    <t>KAREN SOSMEÑA TENEBRO</t>
  </si>
  <si>
    <t>ADA VERONICA C. GRECIA</t>
  </si>
  <si>
    <t>JULIE P. TABCAO</t>
  </si>
  <si>
    <t>Rusell Gattu Lozano</t>
  </si>
  <si>
    <t>NANCY LEBIGA LASQUITE</t>
  </si>
  <si>
    <t>MARIEL VILLARUEL GUANZON</t>
  </si>
  <si>
    <t>Jaddy Genilla Lonte</t>
  </si>
  <si>
    <t>Wulfranie Jr. M. Pascua</t>
  </si>
  <si>
    <t>Michael Angelo San Pedro BAC Secretariat</t>
  </si>
  <si>
    <t>Pedro F Caminero Jr.</t>
  </si>
  <si>
    <t>Paul Laday Olanday</t>
  </si>
  <si>
    <t>Virginia D. Balderas</t>
  </si>
  <si>
    <t>Mamerto Alcanzarin Portillo</t>
  </si>
  <si>
    <t>Victorino Berguela Almario</t>
  </si>
  <si>
    <t>Romarico J. Deona</t>
  </si>
  <si>
    <t>Loy Joseph I Quitain</t>
  </si>
  <si>
    <t>Judea Micah Dialco Carbajosa</t>
  </si>
  <si>
    <t>JOAN JUDE R. LOPEZ</t>
  </si>
  <si>
    <t>Reyma Castañeda Tabalno</t>
  </si>
  <si>
    <t>Gloria S Dungo</t>
  </si>
  <si>
    <t>Edsel A. Moratal</t>
  </si>
  <si>
    <t>Kathyleen Dulnuan Marcelo (2nd Account)</t>
  </si>
  <si>
    <t>Diego P Tan</t>
  </si>
  <si>
    <t>Stanley B. Uriarte</t>
  </si>
  <si>
    <t>Laila M Robosa</t>
  </si>
  <si>
    <t>Asaria P Cañal</t>
  </si>
  <si>
    <t>JEZRYL JAKE CALUYO</t>
  </si>
  <si>
    <t>Antonio Cagdan Failoga</t>
  </si>
  <si>
    <t>BERNARD MALINGTAY PEPE</t>
  </si>
  <si>
    <t>Eustaquio Ligutan</t>
  </si>
  <si>
    <t>MA. LIGAYA PIMENTEL GEPOLLO</t>
  </si>
  <si>
    <t>Michael Angelo Agoto Samonte</t>
  </si>
  <si>
    <t>Rosemarie P. Palma</t>
  </si>
  <si>
    <t>Patrocinio Risos</t>
  </si>
  <si>
    <t>Mary Rose Capanzana Occidental</t>
  </si>
  <si>
    <t>Nenita Roxas  Capuno</t>
  </si>
  <si>
    <t>Nora I. Montenegro</t>
  </si>
  <si>
    <t>Nanette Mirasol Dulfo</t>
  </si>
  <si>
    <t>Roberto Chu Tiu</t>
  </si>
  <si>
    <t>Ilyn S. Rio</t>
  </si>
  <si>
    <t>Bienvenido Reyes Gonzales</t>
  </si>
  <si>
    <t>Juvy  Fugnit  Paulican</t>
  </si>
  <si>
    <t>Milbert Arnold Zurbano Racelis</t>
  </si>
  <si>
    <t>ELI PAUL PERANTE RAYMUNDO</t>
  </si>
  <si>
    <t>Jayna Fe Rabanes Modelo</t>
  </si>
  <si>
    <t>Roberto R. Dingding</t>
  </si>
  <si>
    <t>JOVYLYN P LUCAS</t>
  </si>
  <si>
    <t>Eleah Reyes Dela Luna</t>
  </si>
  <si>
    <t>CECILIA NAVARRO CALDERON</t>
  </si>
  <si>
    <t>Marietta Abuan Graciano</t>
  </si>
  <si>
    <t>SHIELA MARIE MACAUYAG CABAHUG</t>
  </si>
  <si>
    <t>KARLA MEI BASQUEZ TAGUBA</t>
  </si>
  <si>
    <t>Amorie Michele Marba Janubas</t>
  </si>
  <si>
    <t>Enelyn S. Binson</t>
  </si>
  <si>
    <t>MARISE A. PONCE</t>
  </si>
  <si>
    <t>Rey R. Fausto</t>
  </si>
  <si>
    <t>BABY RECTO CORTIÑAS Mendoza</t>
  </si>
  <si>
    <t>Susan Siacor Arsenio</t>
  </si>
  <si>
    <t>MARIBEL TANDINGAN MANAIT</t>
  </si>
  <si>
    <t>Vincent Murillo Caang</t>
  </si>
  <si>
    <t>Gerconia Risane</t>
  </si>
  <si>
    <t>Jeffrey Asuncion Rabanal</t>
  </si>
  <si>
    <t>Gayuting T. Tumanding</t>
  </si>
  <si>
    <t>Francis Antonio Legaspi Flores</t>
  </si>
  <si>
    <t>MARIELLE GRACE ANDRIN ROMAREZ</t>
  </si>
  <si>
    <t>FILIPINAS ESTRELLA RODELAS</t>
  </si>
  <si>
    <t>MARTINA B. ROSALES</t>
  </si>
  <si>
    <t>Miriam C. Jabagat</t>
  </si>
  <si>
    <t>Grace P Hainto</t>
  </si>
  <si>
    <t>April Joy R Tambis</t>
  </si>
  <si>
    <t>Renel Joanne Galuran Gambito</t>
  </si>
  <si>
    <t>Oscar Aguinaldo Domingo</t>
  </si>
  <si>
    <t>Christopher Arayan Ortillano</t>
  </si>
  <si>
    <t>Remigio L. Jamilan</t>
  </si>
  <si>
    <t>RICARDO, JR. ABABOL IMBING</t>
  </si>
  <si>
    <t>BAC ILOCOS SUR</t>
  </si>
  <si>
    <t>Rodrigo V. Custodio</t>
  </si>
  <si>
    <t>VENE ROSE SADDAM</t>
  </si>
  <si>
    <t>Ricarte De Guzman Tadeja</t>
  </si>
  <si>
    <t>RESTITUTO ALIÑABON</t>
  </si>
  <si>
    <t>Epelita Mumar Andoy</t>
  </si>
  <si>
    <t>Shiela L. Lacbayo</t>
  </si>
  <si>
    <t>Lilibeth c. Locario</t>
  </si>
  <si>
    <t>Marjorie Guiao Vitug</t>
  </si>
  <si>
    <t>ERLINDA DOMINGUEZ LANTIN</t>
  </si>
  <si>
    <t>ROEL F FLAMIANO</t>
  </si>
  <si>
    <t>Rosario D Antenor</t>
  </si>
  <si>
    <t>Lelia Uriarte</t>
  </si>
  <si>
    <t>Danilo D. Pazcoguin</t>
  </si>
  <si>
    <t>DELMA C FERNANDEZ</t>
  </si>
  <si>
    <t>RONALD M. SANTIAGO</t>
  </si>
  <si>
    <t>RICHELLE L. MOROTA</t>
  </si>
  <si>
    <t>Editha A Albano</t>
  </si>
  <si>
    <t>Esterlina I. Gamez</t>
  </si>
  <si>
    <t>ROMER LOREZCA</t>
  </si>
  <si>
    <t>ERNEL PRAVA MAYONGUE</t>
  </si>
  <si>
    <t>Almond Garalde Leaño</t>
  </si>
  <si>
    <t>Ronnie L Gutierrez</t>
  </si>
  <si>
    <t>Roberto III Almazan Mirando</t>
  </si>
  <si>
    <t>Krishna Orcino Garcia</t>
  </si>
  <si>
    <t>Evangeline L Sarlon</t>
  </si>
  <si>
    <t>Levy H. Lagutin Jr.</t>
  </si>
  <si>
    <t>Ruben Comission Anarna</t>
  </si>
  <si>
    <t>Mikko S Duero</t>
  </si>
  <si>
    <t>Maria Teresa Ocong Bucio</t>
  </si>
  <si>
    <t>Geoffrey P. Villahermosa</t>
  </si>
  <si>
    <t>EDNA GONZALES</t>
  </si>
  <si>
    <t>Monica A. Tuguinay</t>
  </si>
  <si>
    <t>LIEZEL BRAZAL DE LEON</t>
  </si>
  <si>
    <t>Cheryl Escoro Ortiz</t>
  </si>
  <si>
    <t>Christopher V. Morales</t>
  </si>
  <si>
    <t>Lazaro Buluran Pascual</t>
  </si>
  <si>
    <t>Joy M Rivera</t>
  </si>
  <si>
    <t>Nancy Ebardaloza</t>
  </si>
  <si>
    <t>Jesusa Agustin</t>
  </si>
  <si>
    <t>Rosabella Senining Laurencio</t>
  </si>
  <si>
    <t>Aaron Robert Anza Binarao</t>
  </si>
  <si>
    <t>Edwin Agdon Raymundo</t>
  </si>
  <si>
    <t>Allison Graza Nudo</t>
  </si>
  <si>
    <t>Eduardo A. Sieras</t>
  </si>
  <si>
    <t>Michelle A Supena</t>
  </si>
  <si>
    <t>JOSEPH VIDAD ESTEBAN</t>
  </si>
  <si>
    <t>Hermosa G. Ramirez</t>
  </si>
  <si>
    <t>Harold Repollo Jabel</t>
  </si>
  <si>
    <t>Felicidad Andaya Manaois</t>
  </si>
  <si>
    <t>Romeo Magallanes Taclindo</t>
  </si>
  <si>
    <t>Active</t>
  </si>
  <si>
    <t>Order</t>
  </si>
  <si>
    <t>24/06/2020</t>
  </si>
  <si>
    <t>25/06/2020</t>
  </si>
  <si>
    <t>24/06/2020 12:00 AM</t>
  </si>
  <si>
    <t>25/06/2020 12:00 AM</t>
  </si>
  <si>
    <t>01/07/2020 4:00 PM</t>
  </si>
  <si>
    <t>13/07/2020 1:00 PM</t>
  </si>
  <si>
    <t>13/07/2020 10:00 AM</t>
  </si>
  <si>
    <t>24/07/2020 10:00 AM</t>
  </si>
  <si>
    <t>01/07/2020 5:00 PM</t>
  </si>
  <si>
    <t>15/07/2020 1:30 PM</t>
  </si>
  <si>
    <t>14/07/2020 10:00 AM</t>
  </si>
  <si>
    <t>03/07/2020 2:00 PM</t>
  </si>
  <si>
    <t>01/07/2020 1:00 PM</t>
  </si>
  <si>
    <t>01/07/2020 8:00 AM</t>
  </si>
  <si>
    <t>01/07/2020 5:30 PM</t>
  </si>
  <si>
    <t>15/07/2020 1:00 AM</t>
  </si>
  <si>
    <t>01/07/2020 10:00 AM</t>
  </si>
  <si>
    <t>29/06/2020 1:00 AM</t>
  </si>
  <si>
    <t>02/07/2020 10:00 AM</t>
  </si>
  <si>
    <t>29/06/2020 8:00 AM</t>
  </si>
  <si>
    <t>29/06/2020 10:00 AM</t>
  </si>
  <si>
    <t>07/07/2020 10:00 AM</t>
  </si>
  <si>
    <t>16/07/2020 2:00 PM</t>
  </si>
  <si>
    <t>14/07/2020 9:00 AM</t>
  </si>
  <si>
    <t>02/07/2020 2:00 PM</t>
  </si>
  <si>
    <t>16/07/2020 12:00 PM</t>
  </si>
  <si>
    <t>03/07/2020 5:00 PM</t>
  </si>
  <si>
    <t>14/07/2020 11:00 PM</t>
  </si>
  <si>
    <t>02/07/2020 9:00 AM</t>
  </si>
  <si>
    <t>15/07/2020 8:00 AM</t>
  </si>
  <si>
    <t>14/07/2020 1:30 PM</t>
  </si>
  <si>
    <t>02/07/2020 2:30 PM</t>
  </si>
  <si>
    <t>14/07/2020 2:30 PM</t>
  </si>
  <si>
    <t>14/07/2020 11:00 AM</t>
  </si>
  <si>
    <t>30/06/2020 9:00 AM</t>
  </si>
  <si>
    <t>02/07/2020 1:30 PM</t>
  </si>
  <si>
    <t>07/07/2020 9:00 AM</t>
  </si>
  <si>
    <t>06/07/2020 5:00 PM</t>
  </si>
  <si>
    <t>02/07/2020 1:00 PM</t>
  </si>
  <si>
    <t>02/07/2020 1:00 AM</t>
  </si>
  <si>
    <t>21/07/2020 12:00 PM</t>
  </si>
  <si>
    <t>09/07/2020 1:00 AM</t>
  </si>
  <si>
    <t>06/07/2020 2:00 PM</t>
  </si>
  <si>
    <t>03/07/2020 8:59 AM</t>
  </si>
  <si>
    <t>22/07/2020 12:00 PM</t>
  </si>
  <si>
    <t>29/06/2020 9:00 AM</t>
  </si>
  <si>
    <t>23/07/2020 12:00 PM</t>
  </si>
  <si>
    <t>02/07/2020 5:00 PM</t>
  </si>
  <si>
    <t>15/07/2020 10:00 AM</t>
  </si>
  <si>
    <t>29/06/2020 1:00 PM</t>
  </si>
  <si>
    <t>24/07/2020 12:00 PM</t>
  </si>
  <si>
    <t>01/07/2020 11:59 PM</t>
  </si>
  <si>
    <t>29/06/2020 12:00 PM</t>
  </si>
  <si>
    <t>03/07/2020 10:00 AM</t>
  </si>
  <si>
    <t>17/07/2020 1:00 PM</t>
  </si>
  <si>
    <t>09/07/2020 5:00 PM</t>
  </si>
  <si>
    <t>15/07/2020 2:00 PM</t>
  </si>
  <si>
    <t>26/06/2020 1:00 AM</t>
  </si>
  <si>
    <t>29/06/2020 5:00 PM</t>
  </si>
  <si>
    <t>30/06/2020 1:00 PM</t>
  </si>
  <si>
    <t>29/06/2020 10:30 AM</t>
  </si>
  <si>
    <t>16/07/2020 9:00 AM</t>
  </si>
  <si>
    <t>29/06/2020 4:00 PM</t>
  </si>
  <si>
    <t>14/07/2020 1:00 AM</t>
  </si>
  <si>
    <t>15/07/2020 5:00 PM</t>
  </si>
  <si>
    <t>20/07/2020 9:00 AM</t>
  </si>
  <si>
    <t>30/06/2020 11:00 AM</t>
  </si>
  <si>
    <t>30/06/2020 11:45 AM</t>
  </si>
  <si>
    <t>16/07/2020 1:00 AM</t>
  </si>
  <si>
    <t>15/07/2020 1:00 PM</t>
  </si>
  <si>
    <t>15/07/2020 9:00 AM</t>
  </si>
  <si>
    <t>30/06/2020 3:00 PM</t>
  </si>
  <si>
    <t>16/07/2020 10:00 AM</t>
  </si>
  <si>
    <t>14/07/2020 1:00 PM</t>
  </si>
  <si>
    <t>01/07/2020 1:00 AM</t>
  </si>
  <si>
    <t>14/07/2020 2:00 PM</t>
  </si>
  <si>
    <t>06/07/2020 11:00 AM</t>
  </si>
  <si>
    <t>14/07/2020 1:45 PM</t>
  </si>
  <si>
    <t>01/07/2020 9:30 AM</t>
  </si>
  <si>
    <t>10/07/2020 8:00 AM</t>
  </si>
  <si>
    <t>03/07/2020 1:00 PM</t>
  </si>
  <si>
    <t>30/06/2020 10:00 AM</t>
  </si>
  <si>
    <t>30/06/2020 5:00 PM</t>
  </si>
  <si>
    <t>01/07/2020 9:00 AM</t>
  </si>
  <si>
    <t>30/06/2020 2:00 PM</t>
  </si>
  <si>
    <t>07/08/2020 1:00 PM</t>
  </si>
  <si>
    <t>26/06/2020 10:00 AM</t>
  </si>
  <si>
    <t>26/06/2020 7:09 AM</t>
  </si>
  <si>
    <t>29/06/2020 3:00 PM</t>
  </si>
  <si>
    <t>06/07/2020 10:00 AM</t>
  </si>
  <si>
    <t>01/07/2020 12:00 PM</t>
  </si>
  <si>
    <t>30/06/2020 4:00 PM</t>
  </si>
  <si>
    <t>14/07/2020 8:00 AM</t>
  </si>
  <si>
    <t>02/07/2020 8:00 AM</t>
  </si>
  <si>
    <t>26/06/2020 1:00 PM</t>
  </si>
  <si>
    <t>10/07/2020 1:00 AM</t>
  </si>
  <si>
    <t>30/06/2020 8:30 AM</t>
  </si>
  <si>
    <t>14/07/2020 10:30 AM</t>
  </si>
  <si>
    <t>03/07/2020 1:00 AM</t>
  </si>
  <si>
    <t>29/06/2020 2:00 PM</t>
  </si>
  <si>
    <t>02/07/2020 3:00 PM</t>
  </si>
  <si>
    <t>06/07/2020 8:30 AM</t>
  </si>
  <si>
    <t>29/06/2020 11:00 AM</t>
  </si>
  <si>
    <t>09/07/2020 10:00 AM</t>
  </si>
  <si>
    <t>30/06/2020 1:00 AM</t>
  </si>
  <si>
    <t>30/06/2020 11:30 AM</t>
  </si>
  <si>
    <t>29/06/2020 8:30 AM</t>
  </si>
  <si>
    <t>02/07/2020 4:00 PM</t>
  </si>
  <si>
    <t>13/07/2020 9:00 AM</t>
  </si>
  <si>
    <t>06/07/2020 12:00 PM</t>
  </si>
  <si>
    <t>02/07/2020 12:00 PM</t>
  </si>
  <si>
    <t>06/07/2020 9:00 AM</t>
  </si>
  <si>
    <t>26/06/2020 9:00 AM</t>
  </si>
  <si>
    <t>01/07/2020 2:00 PM</t>
  </si>
  <si>
    <t>08/07/2020 10:00 AM</t>
  </si>
  <si>
    <t>29/06/2020 1:30 PM</t>
  </si>
  <si>
    <t>26/06/2020 5:00 PM</t>
  </si>
  <si>
    <t>14/07/2020 5:00 PM</t>
  </si>
  <si>
    <t>21/07/2020 10:00 AM</t>
  </si>
  <si>
    <t>01/07/2020 9:15 AM</t>
  </si>
  <si>
    <t>29/06/2020 1:30 AM</t>
  </si>
  <si>
    <t>01/07/2020 9:20 AM</t>
  </si>
  <si>
    <t>03/07/2020 9:00 AM</t>
  </si>
  <si>
    <t>01/07/2020 11:00 AM</t>
  </si>
  <si>
    <t>03/07/2020 11:00 AM</t>
  </si>
  <si>
    <t>29/06/2020 9:01 AM</t>
  </si>
  <si>
    <t xml:space="preserve"> The vehicle must be in good condition</t>
  </si>
  <si>
    <t xml:space="preserve"> Brgy Amambucale appropriate an amount for the construction of two waiting sheds  located at two different area of the brgy.</t>
  </si>
  <si>
    <t xml:space="preserve"> The Brgy Council of Brgy. Amambucale agreed to Install 3 Jetmatic Pumps in different areas of the Brgy.</t>
  </si>
  <si>
    <t xml:space="preserve"> One job Furnishing labor and Materials for the Installation of Brgy. Solar Street Lights (Phase2), Brgy. Poblacion Banate, Iloilo (42 units Post and Lighting)</t>
  </si>
  <si>
    <t xml:space="preserve"> Republic of the Philippines Province of Nueva Ecija Municipality of Cuyapo -o0o- OFFICE OF THE BIDS AND AWARDS COMMITTEE INVITATION TO BID FOR  ROAD CONCRETING, PUROK 5, BARANGAY CALANCUASAN SUR 1. The Municipality of Cuyapo, Nueva Ecija intends to apply </t>
  </si>
  <si>
    <t xml:space="preserve"> INVITATION TO BID FOR Procurement of Infra (Road Concreting of Saco St. ( Sta. 00+000 – Sta. 00+212.11 ) The Barangay Manga of Tagbilaran, through the Cont. Appropriation Ordinance No. 2015-003, 2018-001 Annual Budget and Supplemental Budget 2019-001, int</t>
  </si>
  <si>
    <t xml:space="preserve"> 20CSM00101 - GEOTECHNICAL SUB SURFACE EXPLORATION: PACKAGE No. 2020-01, MLANG AND TULUNAN, NORTH COTABATO</t>
  </si>
  <si>
    <t xml:space="preserve"> Republic of the Philippines Province of Nueva Ecija Municipality of Cuyapo -o0o- OFFICE OF THE BIDS AND AWARDS COMMITTEE INVITATION TO BID FOR  CONSTRUCTION OF BOX CULVERT -BARANGAY BONIFACIO 1. The Municipality of Cuyapo, Nueva Ecija intends to apply the</t>
  </si>
  <si>
    <t xml:space="preserve"> SITE CLEARING AND GRUBBING -1.00 l.s Removal of Vegetations STRUCTURAL EXCAVATION -289.43 cu.m. Waster Disposal and Backfill -15.26 cu.m. Foundation fill 88.80 kg. Reinforcing steel 23.36 cu.m. Structural Concrete, Class A 6.00 In. m. Pipe Culverts, 575 m</t>
  </si>
  <si>
    <t xml:space="preserve"> Republic of the Philippines Province of Nueva Ecija Municipality of Cuyapo -o0o- OFFICE OF THE BIDS AND AWARDS COMMITTEE INVITATION TO BID FOR  ROAD CONCRETING, PUROK 2, BARANGAY VILLAFLORES 1. The Municipality of Cuyapo, Nueva Ecija intends to apply the </t>
  </si>
  <si>
    <t xml:space="preserve"> Purchase of Fuel, Oil and Lubricants for the 3rd Quarter ABC: Php 754,064.08 10,813 ltrs Diesel 1,950 ltrs Special Gasoline 100 ltrs Regular Gasoline 54 ltrs Oil 10 54 ltrs Oil 40 36 ltrs Gear Oil 140 9 ltrs Brake Fluid 9 Ltrs Coolant 5 ltrs 2T INVITATION</t>
  </si>
  <si>
    <t xml:space="preserve"> Rehabilitation of Deep Well</t>
  </si>
  <si>
    <t xml:space="preserve"> Repair of Daycare Center</t>
  </si>
  <si>
    <t xml:space="preserve"> Republic of the Philippines Province of Nueva Ecija Municipality of Cuyapo -o0o- OFFICE OF THE BIDS AND AWARDS COMMITTEE INVITATION TO BID FOR  CONSTRUCTION OF RIPRAP -BARANGAY RIZAL 1. The Municipality of Cuyapo, Nueva Ecija intends to apply the sum of P</t>
  </si>
  <si>
    <t xml:space="preserve"> Const. of Vertical Garden</t>
  </si>
  <si>
    <t xml:space="preserve"> Upgrading of Wire in Junior High School</t>
  </si>
  <si>
    <t xml:space="preserve"> concreting FMR</t>
  </si>
  <si>
    <t xml:space="preserve"> Republic of the Philippines Province of Nueva Ecija Municipality of Cuyapo -o0o- OFFICE OF THE BIDS AND AWARDS COMMITTEE INVITATION TO BID FOR  CONSTRUCTION OF CANAL LINING, BARANGAY BULALA TO BARANGAY BANTUG 1. The Municipality of Cuyapo, Nueva Ecija int</t>
  </si>
  <si>
    <t xml:space="preserve"> REQUEST FOR QUOTATION The Philippine Ports Authority (PPA), through the office of the BAC Secretariat will undertake Small Value Procurement for the Procurement of Various Supplies in accordance with the Implementing Rules and Regulations of Republic Act </t>
  </si>
  <si>
    <t xml:space="preserve"> `REQUEST FOR QUOTATION The Philippine Ports Authority (PPA), through the office of the BAC Secretariat will undertake Small Value Procurement for the Procurement of Athletic Uniforms in accordance with the Implementing Rules and Regulations of Republic Ac</t>
  </si>
  <si>
    <t xml:space="preserve"> Republic of the Philippines Province of Nueva Ecija Municipality of Cuyapo -o0o- OFFICE OF THE BIDS AND AWARDS COMMITTEE INVITATION TO BID FOR  ROAD CONCRETING, BARANGAY CALANCUASAN NORTE 1. The Municipality of Cuyapo, Nueva Ecija intends to apply the sum</t>
  </si>
  <si>
    <t xml:space="preserve"> Republic of the Philippines Province of Nueva Ecija Municipality of Cuyapo -o0o- OFFICE OF THE BIDS AND AWARDS COMMITTEE INVITATION TO BID FOR  CONSTRUCTION OF 40 STALLS BESIDE WET MARKET 1. The Municipality of Cuyapo, Nueva Ecija intends to apply the sum</t>
  </si>
  <si>
    <t xml:space="preserve"> Construction of Concrete Pathway P-3</t>
  </si>
  <si>
    <t xml:space="preserve"> Republic of the Philippines Province of Cotabato Municipality of Arakan BIDS AND AWARDS COMMITTEE REQUEST FOR QUOTATION  	SUPPLY OF RICE FOR WALK IN CLIENT OF SB The Local Government Unit of Arakan is inviting interested suppliers to submit price quotatio</t>
  </si>
  <si>
    <t xml:space="preserve"> Acri-color: (Acrylic Tinting Color) Black  Acri-color: (Acrylic Tinting Color) Blue  Acri-color: (Acrylic Tinting Color) Green  Acri-color: (Acrylic Tinting Color) Red Acri-color: (Acrylic Tinting Color) Yellow  Coco Cloth: -  Nylon rope: -  Pigment Color</t>
  </si>
  <si>
    <t xml:space="preserve"> DPD Chlorine Reagent</t>
  </si>
  <si>
    <t xml:space="preserve"> Republic of the Philippines Province of Cotabato Municipality of Arakan BIDS AND AWARDS COMMITTEE REQUEST FOR QUOTATION  	SUPPLY OF SPARE PARTS OF MUN. BULLDOZER  The Local Government Unit of Arakan is inviting interested suppliers to submit price quotati</t>
  </si>
  <si>
    <t xml:space="preserve"> Tire(s): 8.25x16 with flaps and interior</t>
  </si>
  <si>
    <t xml:space="preserve"> Republic of the Philippines Province of Cotabato Municipality of Arakan BIDS AND AWARDS COMMITTEE REQUEST FOR QUOTATION  	SUPPLY OF RICE FOR WALK IN CLIENT OF MAYOR The Local Government Unit of Arakan is inviting interested suppliers to submit price quota</t>
  </si>
  <si>
    <t xml:space="preserve"> Ballpen: Black Ballpen: Blue  Ballpen: Red  Ballpen: Retractable, Assorted 3's  Binder Clip: -  Bond Paper: Long (20x75gsm)  Bond Paper: Short (20x75gsm) Bond Paper: Long (20x75gsm) with Seal  Bond Paper: Short (20x75gsm) with Seal Envelope: Brown, Long E</t>
  </si>
  <si>
    <t xml:space="preserve"> The Procuring Entity Through its Bids and Awards Committee invites suppliers to quote for the hereunder project/program: Purchase of 150cc Motorcycle,f.i. and 125cc motorcycle, f.i.  15% building permits fees and charges from sept. 2016 to sept. 2019 Item</t>
  </si>
  <si>
    <t xml:space="preserve"> Republic of the Philippines Province of Cotabato Municipality of Arakan BIDS AND AWARDS COMMITTEE REQUEST FOR QUOTATION  	SUPPLY OF SPARE PARTS OF MUN. DUMPTRUCK The Local Government Unit of Arakan is inviting interested suppliers to submit price quotatio</t>
  </si>
  <si>
    <t xml:space="preserve"> Air Freshener: Gauge #350m in length  Aquasol ER: -  Alcohol: 70% Ethyl 500ml  Glass Cleaner: Big  Dishwashing Liquid: 500ml  Powder Soap: -  Tissue Paper: Bathroom 2 ply Tissue Paper: Napkins unscented  Muriatic Acid: 500ml</t>
  </si>
  <si>
    <t xml:space="preserve"> The Western Mindanao State University, through its Bids and Awards Committee (BAC), is inviting PhilGEPS registered suppliers to apply for eligibility and to submit bids for the item mentioned hereunder:  1.	Name of the Project: WMSU Water Refilling Stati</t>
  </si>
  <si>
    <t xml:space="preserve"> Tire(s): 265/65 R17</t>
  </si>
  <si>
    <t xml:space="preserve"> Coco Cloth: BAPOR 36W 100yards per roll</t>
  </si>
  <si>
    <t xml:space="preserve"> Rice Bran: D1  Copra meal: -</t>
  </si>
  <si>
    <t xml:space="preserve"> T-shirt: with Print and Logo</t>
  </si>
  <si>
    <t xml:space="preserve"> Ballpen: Assorted Colors  Ballpen: Black  Clip: 3"  Desk Pad Table: with logo seal  DVD: Blank DVD RW with Case  Envelope: Brown, Legal size  Envelope: Brown, Short Envelope: Expanding with Tie Garter, Long  Envelope: Mailing white, 500's/box  Folder: Leg</t>
  </si>
  <si>
    <t xml:space="preserve"> Risograph master roll: -  Risograph: ink</t>
  </si>
  <si>
    <t xml:space="preserve"> The Western Mindanao State University, through its Bids and Awards Committee (BAC), is inviting PhilGEPS registered suppliers to apply for eligibility and to submit bids for the item mentioned hereunder:  1.)	3	Cartridges	Printer Ink Cartridge for Compute</t>
  </si>
  <si>
    <t xml:space="preserve"> Fire Extinguisher Refill: 10lbs (Dry Chemical) with one (1) year  guarantee Fire Extinguisher Refill: 50lbs (Dry Chemical) with one (1) year guarantee 3 Fire Extinguisher Refill: 5lbs (Dry Chemical) with one (1) year guarantee  Fire Extinguisher Refill: 2</t>
  </si>
  <si>
    <t xml:space="preserve"> The Western Mindanao State University, through its Bids and Awards Committee (BAC), is inviting PhilGEPS registered suppliers to apply for eligibility and to submit bids for the item mentioned hereunder:  1.)	90	Cans	Insecticide, aerosol type, net content</t>
  </si>
  <si>
    <t xml:space="preserve"> The Western Mindanao State University, through its Bids and Awards Committee (BAC), is inviting PhilGEPS registered suppliers to apply for eligibility and to submit bids for the item mentioned hereunder:  1.)	4	Units	Aircondition 			Specification: 			* wi</t>
  </si>
  <si>
    <t xml:space="preserve"> Republic of the Philippines City of Cagayan de Oro BIDS AND AWARDS COMMITTEE  INVITATION TO BID  FOR  Supply and Delivery of Medical, Dental and Labarotary Supplies (Lot No. and Lot No. 2); PR No. 20-1412 dated 29 May 2020; SN 130 - 2020 1.	The City Gover</t>
  </si>
  <si>
    <t xml:space="preserve"> Air conditioner: Specification: 2.5 HP Window Type – Non Inverter Width – (MM) 659 = 26 INCH Height – (MM) 428 = 17 INCH</t>
  </si>
  <si>
    <t xml:space="preserve"> The Western Mindanao State University, through its Bids and Awards Committee (BAC), is inviting PhilGEPS registered suppliers to apply for eligibility and to submit bids for the item mentioned hereunder:  1.)	2	Units	Computer Table 			* keyboard sliding d</t>
  </si>
  <si>
    <t xml:space="preserve"> Air conditioner: Specifications: 2HP Window Type- Non Inverter, 19100 KJ/h – Cooling Capacity Remote Control Dimension by millimetre Width – (MM) 795 Dimension – (MM) 875 Height – (MM) 545 Comfort Cool</t>
  </si>
  <si>
    <t xml:space="preserve"> Republic of the Philippines                                                     PROVINCE OF MISAMIS ORIENTAL                                                             Municipality of Tagoloan                                                              </t>
  </si>
  <si>
    <t xml:space="preserve"> Paint: Aquasol ER  Coco Cloth: -  Green Film: -  Latex Paint: White, Gloss Nylon rope: #07  Pigment Color: Black  Pigment Color: Yellow  Pigment Color: Green  Silkscreen: mesh #100  Squeegee: -  Transpabase: -  Acri-color: Blue  Acri-color: Yellow  Acri-c</t>
  </si>
  <si>
    <t xml:space="preserve"> The Western Mindanao State University, through its Bids and Awards Committee (BAC), is inviting PhilGEPS registered suppliers to apply for eligibility and to submit bids for the item mentioned hereunder:  1.)	14	Units	Steel Filing Cabinet 			Specification</t>
  </si>
  <si>
    <t xml:space="preserve"> INVITATION TO BID FOR THE PURCHASE OF MATERIALS FOR THE CONSTRUCTION OF BASE FOR TRANSFER OF HEDCOR BUILDING AT MALUKO 1.	The Local Government Unit of Manolo Fortich, through the Special Education Fund  intends to apply the sum of Five Hundred Seven Thous</t>
  </si>
  <si>
    <t xml:space="preserve"> Catheter Suction: FR#24  Chromic: 0-0 Round Body, RH 37mm, 1/2 Circle 75cm 12's Chromic: 2-0 Round Body, RH 37mm, 1/2 circle 75cm 12's Ecosorb: 3-0 Reverse Cutting, CD 24mm, 3/8 Circle 75cm 12's  Ecosorb: 4-0 Reverse Cutting, CD 19mm, 3/8 Circle 75cm 12's</t>
  </si>
  <si>
    <t xml:space="preserve"> Please quote your lowest price inclusive of VAT on the projects listed below, subject to the Terms and Conditions of this RFQ, and submit your sealed quotation not later than 10:00 AM of June 22, 2020 upon posting of this RFQ at DepED-Division of Cotabato</t>
  </si>
  <si>
    <t xml:space="preserve"> Chlorine: 20liter  Muriatic Acid: 20ml  Dicalite: 25kg</t>
  </si>
  <si>
    <t xml:space="preserve"> see attached bidding documents</t>
  </si>
  <si>
    <t xml:space="preserve"> Correction Tape: -  Double Sided Tape: 1"  Folder: long  Folder: short  Glue: -  Laid Paper: Short  Masking Tape: 1"  Masking Tape: 2"  Pencil: #1  Pentel Pen: Fine (blue, black, red) 12's  Photo Paper: A4 10's Printer Ink: Canon #810  Printer Ink: Canon </t>
  </si>
  <si>
    <t xml:space="preserve"> Please see attachment for the List of Construction Materials.</t>
  </si>
  <si>
    <t xml:space="preserve"> Flat Latex Paint: -  Latex Paint: Gloss  Flat Wall Enamel: - QDE: Enamel White  Latex Paint: Green  Enamel Paint: (green)  Paint Thinner: - Roller Board: -  Paint Brush: #1-1/2  Paint Brush: #2  Paint Brush: #3  Roller Brush: #07 Baby Roller Brush: #4  Pa</t>
  </si>
  <si>
    <t xml:space="preserve"> Ballpen: Assorted Colors (red, blue, green)  Ballpen: Black  Desk Pad Table: with logo seal  DVD: Blank DVD RW with Case  Folder: Long Sub. 20  Folder: Short S-20  Printer Ink: Canon 704 colored  Printer Ink: Canon 704 black  Permanent Marker: Black, Blue</t>
  </si>
  <si>
    <t xml:space="preserve"> Republic of the Philippines                                                             Municipality of Tagoloan                                                     PROVINCE OF MISAMIS ORIENTAL                                                              </t>
  </si>
  <si>
    <t xml:space="preserve"> Bond Paper: Long, 8.5x13 Bond Paper: Short, 8.5x11  Staple wire: -  Correction Tape: -  Fastener: - 5 Masking Tape: -  Scotch Tape: -  Highlighter Pen: -  Ballpen: Blue  Ballpen: Black  Sign Pen: Black  Sign Pen: Blue 5 Printer Ink: Canon 325  Toner: HP #</t>
  </si>
  <si>
    <t xml:space="preserve"> ITEM       QTY     UNIT        DESCRIPTION 1              1        pc           ID MAKER 2              664     pcs         RF ID Cards 3              3         rolls       ID MAKER COLOR RIBBON  4              4        rolls        ID MAKER-RETRANSFER FI</t>
  </si>
  <si>
    <t xml:space="preserve"> INVITATION TO BID FOR THE PURCHASE OF MATERIALS FOR THE CONSTRUCTION OF 2 MAKESHIFT CLASSROOMS AT DAHILAYAN INTEGRATED SCHOOL 1.	The Local Government Unit of Manolo Fortich, through the Special Education Fund  intends to apply the sum of Two Hundred Twelv</t>
  </si>
  <si>
    <t xml:space="preserve"> Republic of the Philippines Province of Guimaras OFFICE OF THE BIDS AND AWARDS COMMITTEE INVITATION TO BID FOR    SUPPLY AND DELIVERY OF CURTAINS AND CURTAIN RODS Bid Ref. No. 2020-06-355 1.	The Province of Guimaras , through the 2020 Regular Budget- Offi</t>
  </si>
  <si>
    <t xml:space="preserve"> Detergent: Powder 400g  Fabric Softener/Freshener: 900ml Garden Scent  Air Freshener: 450ml 4.00 Insecticide/Insect Killer: 500ml  Floor Wax: 900g  Tissue Paper: 12 rolls/pack Tissue Paper: -  Scrubbing Pad: w/ foam  Muriatic Acid: 2lit  Air Freshener: Sp</t>
  </si>
  <si>
    <t xml:space="preserve"> 1. The Local Government Unit of Magsaysay, Occidental Mindoro through the Annual Budget approved by Sanggunian intends to apply the sum of One-hundred Eighty Thousand Pesos (P180,000.00) being the Approved Budget for the Contract (ABC) to payment under th</t>
  </si>
  <si>
    <t xml:space="preserve"> Republic of the Philippines Department of Education Region v SCHOOLS DIVISION OF SORSOGON Capitol Compound, Sorsogon City Invitation to Bid for REPAIR OF CLASSROOMS UNDER CY 2020 QUICK RESPONSE FUND (QRF)  (Lots 4,9, 11, 22 and 32 – Rebid) Project No.: 20</t>
  </si>
  <si>
    <t xml:space="preserve"> Republic of the Philippines                                                                        Municipality of Tagoloan                                                                 PROVINCE OF MISAMIS ORIENTAL                                       </t>
  </si>
  <si>
    <t xml:space="preserve"> Republic of the Philippines Province of Guimaras OFFICE OF THE BIDS AND AWARDS COMMITTEE INVITATION TO BID FOR    SUPPLY AND DELIVERY OF WATER TREATMENT EQUIPMENT Bid Ref. No. 2020-03-224 1.	The Province of Guimaras , through the PHO – (107-04-990) Capita</t>
  </si>
  <si>
    <t xml:space="preserve"> INVITATION TO BID IB No. 04, S. 2020 The Municipality of General Nakar, Quezon through the Approved  Purchase Request amounting to  Three Hundred Sixty Nine Thousand Two Hundred Sixty Four Pesos and Twenty Seven Centavos (PhP369,264.27)) being the Approve</t>
  </si>
  <si>
    <t xml:space="preserve"> INVITATION TO BID IB No. 16,   S. 2020 The Municipality of General Nakar, Quezon through the Approved Appropriation Ordinance No. 2019-29  appropriating funds for the Annual Budget CY 2020 intends to apply the sum of  Six Million  Five Hundred Thousand  P</t>
  </si>
  <si>
    <t xml:space="preserve"> Republic of the Philippines                                                                  Municipality of Tagoloan                                                          PROVINCE OF MISAMIS ORIENTAL                                                    </t>
  </si>
  <si>
    <t xml:space="preserve"> Republic of the Philippines Province of Bukidnon MUNICIPALITY OF PANGANTUCAN TIN 099-000-631-170 OFFICE OF THE MUNICIPAL MAYOR Bids and Awards Committee (BAC) Cell # 09261024636  Email us: munpangantucanbukidnon@yahoo.com  or visit www.philgeps.net INVITA</t>
  </si>
  <si>
    <t xml:space="preserve"> School and Office Supplies for First Quarter of 2020</t>
  </si>
  <si>
    <t xml:space="preserve"> Republic of the Philippines Province of Guimaras OFFICE OF THE BIDS AND AWARDS COMMITTEE Invitation to Bid for  One Job Supply of Materials and Labor for the Support to Municipal Nursery/barangay Nurseries (Construction of Working Cottage) Bid Ref. No. 20</t>
  </si>
  <si>
    <t xml:space="preserve"> THE NATIONAL IRRIGATION ADMINISTRATION-SCIMO, THROUGH THE FUND 501 HAS THE APPROVED BUDGET FOR THE CONTRACT (ABC) AMOUNTING EIGHTY THREE THOUSAND PESOS ONLY (83,000.00).  QUOTATION RECEIVED IN EXCESS OF THE ABC SHALL BE AUTOMATICALLY REJECTED. INTERESTED </t>
  </si>
  <si>
    <t xml:space="preserve"> INVITATION TO BID FOR THE PURCHASE OF MATERIALS FOR THE CONSTRUCTION OF 2 MAKESHIFT CLASSROOMS AT MANTIBUGAO INTEGRATED SCHOOL 1.	The Local Government Unit of Manolo Fortich, through the Special Education Fund  intends to apply the sum of Two Hundred Twel</t>
  </si>
  <si>
    <t xml:space="preserve"> Republic of the Philippines Province of Bukidnon MUNICIPALITY OF PANGANTUCAN TIN 099-000-631-170 OFFICE OF THE MUNICIPAL MAYOR Bids and Awards Committee (BAC) Cell # 09261024636  Email us: munpangantucanbukidnon@yahoo.com  or visit www.philgeps.net REQUES</t>
  </si>
  <si>
    <t xml:space="preserve"> SOLAR POWERED STREETLIGHTS</t>
  </si>
  <si>
    <t xml:space="preserve"> OFFICE SUPPLIES AND MATERIALS</t>
  </si>
  <si>
    <t xml:space="preserve"> The Procuring Entity through its Bids and Awards Committee invites suppliers to quote for the hereunder project/program: Water System at Brgy. Sta. Monica CY 2019-20% EDF Item No.	DESCRIPTION						QNTY	UNIT 								 1	Various Construction Materials (Hardw</t>
  </si>
  <si>
    <t xml:space="preserve"> INVITATION TO BID The City Vigan, through its Bids and Awards Committee (BAC), invites suppliers/manufacturers/distributors/contractors to apply for eligibility and to bid for the hereunder project: Name of Project:	Supply, Delivery and Installation of Br</t>
  </si>
  <si>
    <t xml:space="preserve"> Republic of the Philippines Province of Guimaras OFFICE OF THE BIDS AND AWARDS COMMITTEE INVITATION TO BID FOR    SUPPLY AND DELIVERY OF MEDICAL OXYGEN Bid Ref. No. 2020-06-343 1.	The Province of Guimaras , through the Revolving Fund (BEH) 502-03-070 inte</t>
  </si>
  <si>
    <t xml:space="preserve"> The Procuring Entity through its Bids and Awards Committee invites suppliers to quote for the hereunder project/program: Medicines CY 2020 General Fund Item No.	      DESCRIPTION					QNTY	UNIT 								 1	     Various Drugs and Medicines:		                </t>
  </si>
  <si>
    <t xml:space="preserve"> The Procuring Entity through its Bids and Awards Committee invites suppliers to quote for the hereunder project/program: Water System Improvement @ Barangay Bagtic CY 2019-20% EDF. Item No.	       DESCRIPTION				QNTY	UNIT 								 1	Various Plumbing Mater</t>
  </si>
  <si>
    <t xml:space="preserve"> RFQ for the School and Office Supplies</t>
  </si>
  <si>
    <t xml:space="preserve"> Republic of the Philippines Province of Guimaras OFFICE OF THE BIDS AND AWARDS COMMITTEE INVITATION TO BID FOR    SUPPLY AND DELIVERY OF VETERINARY SUPPLIES Bid Ref. No. 2020-06-344 1.	The Province of Guimaras , through the (Item 1,2,3,4 and 5 P18,092.00-</t>
  </si>
  <si>
    <t xml:space="preserve"> Procurement of amlodipine</t>
  </si>
  <si>
    <t xml:space="preserve"> Republic of the Philippines Province of Guimaras OFFICE OF THE BIDS AND AWARDS COMMITTEE INVITATION TO BID FOR    SUPPLY AND DELIVERY OF MINERAL OIL, VEGETABLE OIL AND CITRONELLA PLANTS Bid Ref. No. 2020-06-353 1.	The Province of Guimaras , through the DO</t>
  </si>
  <si>
    <t xml:space="preserve"> Procurement of Goods vit C</t>
  </si>
  <si>
    <t xml:space="preserve"> 1.	The Department of Public Works and Highways Regional Office XI, Davao City, through its Bids and Awards Committee (BAC), invites bidders to submit bids for the Infra projects funded under GAA FY 2020, to wit: Contract ID 	:	20L00146 Contract Name/Locat</t>
  </si>
  <si>
    <t xml:space="preserve"> Primary Registration Household Registration Resident List ID Printing Integration Logistic Inventory Automation of Barangay Certifications Reports Website with Database integrated in RBI System   Logistic for Barangay Census (5 Staff in 60days) 5 mobile p</t>
  </si>
  <si>
    <t xml:space="preserve"> Procurement of Heparin, hemodialysis treatment packages</t>
  </si>
  <si>
    <t xml:space="preserve"> Please see attached copy of the Request For Quotations</t>
  </si>
  <si>
    <t xml:space="preserve"> Road widening with canal, and curb &amp; gutter</t>
  </si>
  <si>
    <t xml:space="preserve"> Please see attached copy of the Request For Quotation</t>
  </si>
  <si>
    <t xml:space="preserve"> 1.	The Department of Public Works and Highways Regional Office XI, Davao City, through its Bids and Awards Committee (BAC), invites bidders to submit bids for the Infra projects funded under GAA FY 2020, to wit: Contract ID 	:	20L00138 Contract Name/Locat</t>
  </si>
  <si>
    <t xml:space="preserve"> 1.Municipality of Amadeo through its GEN FUND intends to apply the sum of Php 199,898.00 being the Approved Budget Ceiling for the PURCHASE OF FORMS TO BE USED BY ASSESSOR'S OFFICE  Quotation received in excess of the ABC shall be automatically rejected. </t>
  </si>
  <si>
    <t xml:space="preserve"> Roofing Works</t>
  </si>
  <si>
    <t xml:space="preserve"> Supply &amp; delivery of various Construction Supply</t>
  </si>
  <si>
    <t xml:space="preserve"> 1.Municipality of Amadeo through its GEN FUND intends to apply the sum of Php 618,000.00 being the Approved Budget Ceiling for the PURCHASE OF IT EQUIPMENTS TO BE USED BY LGU-AMADEO Quotation received in excess of the ABC shall be automatically rejected. </t>
  </si>
  <si>
    <t xml:space="preserve"> Ceftriaxone vial: 1g</t>
  </si>
  <si>
    <t xml:space="preserve"> various Office Supplies</t>
  </si>
  <si>
    <t xml:space="preserve"> Surgical Face Mask: Earloop 3ply</t>
  </si>
  <si>
    <t xml:space="preserve"> Medical Oxygen: -</t>
  </si>
  <si>
    <t xml:space="preserve"> 1. The Mindanao State University - Tawi-Tawi College of Technology and Oceanography (MSU-TCTO), through the GAA 2020, intends to apply the sum of Seven Hundred Forty-Nine Thousand Eight Hundred Ninety-Three and 21/100 pesos only (PhP 749,893.21) being app</t>
  </si>
  <si>
    <t xml:space="preserve"> 1.Municipality of Amadeo through its GEN FUND intends to apply the sum of Php 794,182.00 being the Approved Budget Ceiling for the PURCHASE OF OFFICE SUPPLIES TO BE USED BY DIFFERENT OFFICES Quotation received in excess of the ABC shall be automatically r</t>
  </si>
  <si>
    <t xml:space="preserve"> 1.	The Department of Public Works and Highways Regional Office XI, Davao City, through its Bids and Awards Committee (BAC), invites bidders to submit bids for the Infra projects funded under GAA FY 2020, to wit: Contract ID 	:	20L00156 Contract Name/Locat</t>
  </si>
  <si>
    <t xml:space="preserve"> Republika ng Pilipinas PAMAHALAANG LUNGSOD NG TACLOBAN (City Government of Tacloban) Kanhuraw Hill, Tacloban City 6500 BIDS AND AWARDS COMMITTEE INVITATION TO BID  REF #042-06-2020 (JUNE 25, 2020) PR# 2020-681 DATED 06-09-2020 7060270 The Procuring Entity</t>
  </si>
  <si>
    <t xml:space="preserve"> Plain 0.9% NaCl: 1000ml  Lactated Ringers Solution: 1000ml (plain)  Lactated Ringers Solution: 500ml (plain)  D5: LRS 1000ml 12's  D5: 0.3% 500ml  Euro Ion: 500ml  Plain 0.9% Sodium Chloride (NaCl): 500ml  D5: 0.3% 500ml</t>
  </si>
  <si>
    <t xml:space="preserve"> D5: LRS 1 Liter, 12's  LRS: 1liter 12's  D5: 0.3% NaCl 1 Liter, 12's</t>
  </si>
  <si>
    <t xml:space="preserve"> 1.Municipality of Amadeo through its GEN FUND intends to apply the sum of Php 290,996.90 being the Approved Budget Ceiling for the FABRICATION AND INSTALLATION OF BARANGAY DAGATAN STREETLIGHTING LOCATED @ BRGY. DAGATAN, AMADEO, CAVITE Quotation received i</t>
  </si>
  <si>
    <t xml:space="preserve"> 1.	The Department of Public Works and Highways Regional Office XI, Davao City, through its Bids and Awards Committee (BAC), invites bidders to submit bids for the Infra projects funded under GAA FY 2020, to wit: Contract ID 	:	20L00155 Contract Name/Locat</t>
  </si>
  <si>
    <t xml:space="preserve"> 1.	The Department of Public Works and Highways Regional Office XI, Davao City, through its Bids and Awards Committee (BAC), invites bidders to submit bids for the Infra projects funded under GAA FY 2020, to wit:   Contract ID 	:	20L00158 Contract Name/Loc</t>
  </si>
  <si>
    <t xml:space="preserve"> 1.Municipality of Amadeo through its GEN FUND intends to apply the sum of Php 272,950.00 being the Approved Budget Ceiling for the PURCHASE OF BUSINESS PLATES, 2020 STICKER AND TODA STICKER FOR THE USE OF BPLO Quotation received in excess of the ABC shall</t>
  </si>
  <si>
    <t xml:space="preserve"> 1.	The Department of Public Works and Highways Regional Office XI, Davao City, through its Bids and Awards Committee (BAC), invites bidders to submit bids for the Infra projects funded under GAA FY 2020, to wit: Contract ID 	:	20L00157 \Contract Name/Loca</t>
  </si>
  <si>
    <t xml:space="preserve"> 1.Municipality of Amadeo through its GEN FUND intends to apply the sum of Php 284,750.00 being the Approved Budget Ceiling for the INSTALLATION OF CCTV CAMERA @ VARIOUS BARANGAY LOCATED @ AMADEO, CAVITE Quotation received in excess of the ABC shall be aut</t>
  </si>
  <si>
    <t xml:space="preserve"> Losartan: 50mg Lagundi: 300mg tab  Diphenhydramine: 50mg  Diphenhydramine amp: 50mg/ml 1ml Ranitidine amp: 25mg/ml 2ml  Salbutamol syrup: 60ml  Ascorbic Acid: 500g  Cinnarizine: 200mg  Salbutamol: 2mg  Omeprazole: 20mg  Gentamicin Amp: 40mg/ml 2ml  Cefuro</t>
  </si>
  <si>
    <t xml:space="preserve"> Please quote your lowest price inclusive of VAT on the items/supplies listed below, subject to the Terms and Conditions of this RFQ, and submit your quotation duly signed by your representative not later than April 2, 2020 at Bids and Awards Committee of </t>
  </si>
  <si>
    <t xml:space="preserve"> 1.	The Department of Public Works and Highways Regional Office XI, Davao City, through its Bids and Awards Committee (BAC), invites bidders to submit bids for the Infra projects funded under GAA FY 2020, to wit: Contract ID 	:	20L00162 Contract Name/Locat</t>
  </si>
  <si>
    <t xml:space="preserve"> The Technical Education and Skills Development Authority (TESDA), through the TESDA-PTC Sindangan, Zamboanga del Norte will undertake a Small Value Procurement for the “Supplies and materials to be used for skills training Cum Production in Wooden Poultry</t>
  </si>
  <si>
    <t xml:space="preserve"> 1.Municipality of Amadeo through its GEN FUND intends to apply the sum of Php 122,525.00 being the Approved Budget Ceiling for the PROCUREMENT AND RESTORATION OF RADIO COMMUNICATION Quotation received in excess of the ABC shall be automatically rejected. </t>
  </si>
  <si>
    <t xml:space="preserve"> 1.Municipality of Amadeo through its GEN FUND intends to apply the sum of Php 100,000.00 being the Approved Budget Ceiling for the PURCHASE OF WHEEL CLAMP TO BE USED FOR BALIK KALSADA PROGRAM OF PNP Quotation received in excess of the ABC shall be automat</t>
  </si>
  <si>
    <t xml:space="preserve"> 1.Municipality of Amadeo through its GEN FUND intends to apply the sum of Php 170,693.50 being the Approved Budget Ceiling for the PURCHASE OF JANITORIAL SUPPLIES TO BE USED BY DIFFERENT OFFICES Quotation received in excess of the ABC shall be automatical</t>
  </si>
  <si>
    <t xml:space="preserve"> The DPWH, Negros Occidental 3rd District Engineering Office, Kabankalan City, Negros Occidental, through its Bids and Awards Committee (BAC), invites contractors to submit bids for the following contract: 1. Contract ID		:	20GM0063 (Re-bidding) Contract N</t>
  </si>
  <si>
    <t xml:space="preserve"> INVITATION TO BID FOR THE SUPPLY AND DELIVERY OF RELIEF GOODS   1.	The City of Iloilo, through the General Fund intends to apply the sum of Five Hundred Seventy-Nine Thousand Nine Hundred Thirty-Seven Pesos Eighty Centavos (P579,937.80) being the Approved</t>
  </si>
  <si>
    <t xml:space="preserve"> 1.Municipality of Amadeo through its GEN FUND intends to apply the sum of Php 290,999.03 being the Approved Budget Ceiling for the CONSTRUCTION OF CANAL LINING LOCATED @ BRGY. #7, AMADEO, CAVITE Quotation received in excess of the ABC shall be automatical</t>
  </si>
  <si>
    <t xml:space="preserve"> 1.	The Department of Public Works and Highways Regional Office XI, Davao City, through its Bids and Awards Committee (BAC), invites bidders to submit bids for the Infra projects funded under GAA FY 2020, to wit: Contract ID 	:	20L00160 Contract Name/Locat</t>
  </si>
  <si>
    <t xml:space="preserve"> 1.Municipality of Amadeo through its GEN FUND intends to apply the sum of Php 117,509.00 being the Approved Budget Ceiling for the PURCHASE OF MEDICAL SUPPLIES TO BE USED BY RHU Quotation received in excess of the ABC shall be automatically rejected. 2. B</t>
  </si>
  <si>
    <t xml:space="preserve"> 1.Municipality of Amadeo through its GEN FUND intends to apply the sum of Php 630,413.06 being the Approved Budget Ceiling for the IMPROVEMENT OF AMADEO POLICE STATION LOCATED @ AMADEO, CAVITE Quotation received in excess of the ABC shall be automatically</t>
  </si>
  <si>
    <t xml:space="preserve"> 1.Municipality of Amadeo through its GEN FUND intends to apply the sum of Php 675,473.14 being the Approved Budget Ceiling for the CONCRETING OF TALYER ROAD LOCATED @ BRGY. SALABAN, AMADEO, CAVITE Quotation received in excess of the ABC shall be automatic</t>
  </si>
  <si>
    <t xml:space="preserve"> 1.Municipality of Amadeo through its GEN FUND intends to apply the sum of Php 150,000.00 being the Approved Budget Ceiling for the PROVISION OF PLACENTA / MEDICAL WASTE PIT Quotation received in excess of the ABC shall be automatically rejected. 2. BAC of</t>
  </si>
  <si>
    <t xml:space="preserve"> 1.Municipality of Amadeo through its GEN FUND intends to apply the sum of Php 1,999,850.00 being the Approved Budget Ceiling for the PURCHASE OF MEDICINE TO BE USED BY RHU Quotation received in excess of the ABC shall be automatically rejected. 2. BAC of </t>
  </si>
  <si>
    <t xml:space="preserve"> 60	bags 	Ammonium Sulfate (21-0-0)	  210	bags 	Complete Fertilizer (14-14-14)</t>
  </si>
  <si>
    <t xml:space="preserve"> 1.	The Department of Public Works and Highways Regional Office XI, Davao City, through its Bids and Awards Committee (BAC), invites bidders to submit bids for the Infra projects funded under GAA FY 2020, to wit: Contract ID 	:	20L00161 Contract Name/Locat</t>
  </si>
  <si>
    <t xml:space="preserve"> 1.	The Department of Public Works and Highways Regional Office XI, Davao City, through its Bids and Awards Committee (BAC), invites bidders to submit bids for the Infra projects funded under GAA FY 2020, to wit: Contract ID 	:	20L00163 Contract Name/Locat</t>
  </si>
  <si>
    <t xml:space="preserve"> 1.	The Department of Public Works and Highways Regional Office XI, Davao City, through its Bids and Awards Committee (BAC), invites bidders to submit bids for the Infra projects funded under GAA FY 2020, to wit: Contract ID 	:	20L00159 Contract Name/Locat</t>
  </si>
  <si>
    <t xml:space="preserve"> 1.	The Department of Public Works and Highways Regional Office XI, Davao City, through its Bids and Awards Committee (BAC), invites bidders to submit bids for the Infra projects funded under GAA FY 2020, to wit: Contract ID 	:	20L00164 Contract Name/Locat</t>
  </si>
  <si>
    <t xml:space="preserve"> 1.Municipality of Amadeo through its GEN FUND intends to apply the sum of Php 99,800.00 being the Approved Budget Ceiling for the PURCHASE OF SAFETY GEARS FOR MDRRMO RESPONDERS  Quotation received in excess of the ABC shall be automatically rejected. 2. B</t>
  </si>
  <si>
    <t xml:space="preserve"> Repair/Maintenance of DPWH Building, Langogan Resthouse</t>
  </si>
  <si>
    <t xml:space="preserve"> 1.	The Department of Public Works and Highways Regional Office XI, Davao City, through its Bids and Awards Committee (BAC), invites bidders to submit bids for the Infra projects funded under GAA FY 2020, to wit: Contract ID 	:	20L00166 Contract Name/Locat</t>
  </si>
  <si>
    <t xml:space="preserve"> GT6                                                                                                                                                                                                                                                            </t>
  </si>
  <si>
    <t xml:space="preserve"> Availability in Cargo Bed Sizes in length      :   10 ft long Color options                                            :   any color except white Valves                                                     :    8 Gearbox details                            </t>
  </si>
  <si>
    <t xml:space="preserve"> 1.	The Department of Public Works and Highways Regional Office XI, Davao City, through its Bids and Awards Committee (BAC), invites bidders to submit bids for the Infra projects funded under GAA FY 2020, to wit: Contract ID 	:	20L00165 Contract Name/Locat</t>
  </si>
  <si>
    <t xml:space="preserve"> June 24, 2020 Name of Project:	PROCUREMENT AND DELIVERY OF MATERIALS FOR THE CONSTRUCTION OF 84 BY 1 METER PERIMETER FENCE OF LEUTEBORO NHS. Sir/Madame: Please quote your lowest price for the following item enumerated below, taking into consideration the </t>
  </si>
  <si>
    <t xml:space="preserve"> 1.Municipality of Amadeo through its GEN FUND intends to apply the sum of Php 62,830.00 being the Approved Budget Ceiling for the PURCHASE OF SUPPLIES FOR USE OF OSCA  Quotation received in excess of the ABC shall be automatically rejected. 2. BAC of the </t>
  </si>
  <si>
    <t xml:space="preserve"> 1.Municipality of Amadeo through its GEN FUND intends to apply the sum of Php 40,838.00 being the Approved Budget Ceiling for the PURCHASE OF SUPPLIES FOR USE OF PWD Quotation received in excess of the ABC shall be automatically rejected. 2. BAC of the Mu</t>
  </si>
  <si>
    <t xml:space="preserve"> Repainting of Concrete Bridges</t>
  </si>
  <si>
    <t xml:space="preserve"> Repair/Maintenance of DPWH Building Super Area (Storage Room)</t>
  </si>
  <si>
    <t xml:space="preserve"> Construction of Rainwater Collection System (RWCS)</t>
  </si>
  <si>
    <t xml:space="preserve"> Republic of the Philippines City of Cagayan de Oro BIDS AND AWARDS COMMITTEE  INVITATION TO BID  FOR  Supply and Delivery of Various Office Supplies; PR No. 20-1432 dated 11 June 2020; SN 131 - 2020 1.	The City Government of Cagayan de Oro, through the Ge</t>
  </si>
  <si>
    <t xml:space="preserve"> 25 Sets of Garbage Bins</t>
  </si>
  <si>
    <t xml:space="preserve"> 1. The Mindanao State University - Tawi-Tawi College of Technology and Oceanography (MSU-TCTO), through the GAA 2020, intends to apply the sum of Nine Hundred Seventy-Six Thousand Eight Hundred Forty and 09/100 pesos only (PhP 976,840.09) being approved B</t>
  </si>
  <si>
    <t xml:space="preserve"> Republic of the Philippines City of Cagayan de Oro BIDS AND AWARDS COMMITTEE INVITATION TO BID  FOR  SUPPLY AND DELIVERY OF DIESEL AND UNLEADED GASOLINE INCLUDING INSTALLATION OF PETROLEUM UNDERGROUND STORAGE TANKS AND FUEL DISPENSERS; PR NO. 20-1431 DATE</t>
  </si>
  <si>
    <t xml:space="preserve"> Procurement of the following: a. 10kls of Assorted Vegetable Seeds b. Farm Tools/Inputs</t>
  </si>
  <si>
    <t xml:space="preserve"> The Authority is now accepting quotes for Office Chairs</t>
  </si>
  <si>
    <t xml:space="preserve"> Republic of the Philippines Province of Guimaras OFFICE OF THE BIDS AND AWARDS COMMITTEE INVITATION TO BID FOR    SUPPLY AND DELIVERY OF KITCHENWARE Bid Ref. No. 2020-06-352 1.	The Province of Guimaras , through the DOLE Kabuhayan Program (Various Livelih</t>
  </si>
  <si>
    <t xml:space="preserve"> INVITATION TO BID IB-2020-096-INFRA        Drainage Improvement along C5, District II, Makati City 1.	The Metropolitan Manila Development Authority, through the 2020 General Appropriations Act (GAA)intends to apply the sum of FiveMillion, NineHundredEight</t>
  </si>
  <si>
    <t xml:space="preserve"> 1. The Mindanao State University - Tawi-Tawi College of Technology and Oceanography (MSU-TCTO), through the TRUST FUND, intends to apply the sum of Three Hundred Seventy Thousand Two Hundred Fifty-Two and 72/100 pesos only (PhP 370,252.572) being approved</t>
  </si>
  <si>
    <t xml:space="preserve"> Republic of the Philippines PROVINCE OF ZAMBOANGA DEL SUR Municipality of Dimataling BIDS AND AWARD COMMITTEE Reference Number : PR-180-100-200 Date: June 17, 2020 Project Title/P.R. # : PURCHASE OF ISOLATION AMENITIES Approved Budget of the Contract : Ph</t>
  </si>
  <si>
    <t xml:space="preserve"> INVITATION TO BID IB-2020-097-INFRA Rehabilitation / Improvement and Maintenance of Drainage System along Beata St., and Vicinity, Pandacan, District VI, Manila City 1.	The Metropolitan Manila Development Authority, through the 2020 General Appropriations</t>
  </si>
  <si>
    <t xml:space="preserve"> Procurement of the following: a. 75 bags  - Seeds b. 75 bags  - Urea (46-0-0)  c. 150 bags - Complete (14-14-14)</t>
  </si>
  <si>
    <t xml:space="preserve"> INVITATION TO BID IB-2020-095-INFRA        Drainage Improvement along Kalayaan Avenue, District II, Makati City 1.	The Metropolitan Manila Development Authority, through the 2020 General Appropriations Act (GAA)intends to apply the sum of SevenMillion, Fo</t>
  </si>
  <si>
    <t xml:space="preserve"> DIGITAL RADIOGRAPHIC SYSTEM SPECIFICATION DIGITAL RADIOGRAPHY DETECTOR: Scintillator Type:Cesium lodide (CsI) Pixel Pitch: 140 um Field of View: 14x17 inch  Effective area: 356.72x428.4 mm Resolution:2536x3048 Grayscale:14 bit Spatial Resolution: 3.5 lp/m</t>
  </si>
  <si>
    <t xml:space="preserve"> Invitation to Bid No. NSCV2020-03 RE-BIDDING- PROCUREMENT OF 1 LOT VARIOUS LABORATORY REAGENTS 1.	The West Visayas State University Medical Center, through its NSCV Fund 2020 intends to apply the sum of SIX HUNDRED EIGHT THOUSAND PESOS (PhP 608,000.00) ON</t>
  </si>
  <si>
    <t xml:space="preserve"> Republic of the Philippines Province of Guimaras OFFICE OF THE BIDS AND AWARDS COMMITTEE INVITATION TO BID FOR    SUPPLY AND DELIVERY OF LAPTOP WITH PRINTER AND OTHER SUPPLIES AND EQUIPMENT Bid Ref. No. 2020-06-351 1.	The Province of Guimaras , through th</t>
  </si>
  <si>
    <t xml:space="preserve"> ----------ANTHROPOMORPHIC PHANTOM    Features Patient positioning: -	Shoulders rotate full 360 degrees in the sagittal plane, approx. 180 degrees to side-ways. -	Elbows bend up to approx. 90 degrees. -	Hip joints rotate forward up to 90 degrees, then rota</t>
  </si>
  <si>
    <t xml:space="preserve"> INVITATION TO BID IB-2020-101-INFRA Drainage Improvement and Concreting at Barangay Vasra, District I, Quezon City 1.	The Metropolitan Manila Development Authority, through the 2020 General Appropriations Act (GAA)intends to apply the sum of FiveMillion, </t>
  </si>
  <si>
    <t xml:space="preserve"> The Cavite National High School – Junior High School will undertake a procurement for the “Office Supplies” with the approved budget of Five Hundred Fifty Thousand Pesos(Php 550,000.00).</t>
  </si>
  <si>
    <t xml:space="preserve"> Concreting of Multi-Purpose Pavement @ Barangay Lanting, Roxas, Isabela</t>
  </si>
  <si>
    <t xml:space="preserve"> INVITATION TO BID IB-2020-099-INFRA Drainage Improvement along Esperanza St. and Vicinities, District II, Valenzuela City 1.	The Metropolitan Manila Development Authority, through the 2020 General Appropriations Act (GAA)intends to apply the sum of Thirte</t>
  </si>
  <si>
    <t xml:space="preserve"> QTY	UNIT	ITEM DESCRIPTION 		  40.00 	ream/s	Copy Paper A4, 80 gsm, substance 24  40.00 	ream/s	Copy Paper Legal size, 80 gsm, substance 24  420.00 	pc/s	Ivory Long Folder</t>
  </si>
  <si>
    <t xml:space="preserve"> Republic of the Philippines MUNICIPALITY OF ORION Province of Bataan Bids and Awards Committee Secretariat Office, 2nd Floor Municipal Building, San Vicente, Orion, Bataan Telephone No. 244-9611 REQUEST FOR QUOTATION (RFQ) The Municipality of Orion, throu</t>
  </si>
  <si>
    <t xml:space="preserve"> Invitation to Bid  For the Construction of Four (4) Storey Sixteen (16) Classroom Building at Lapaz National High School, Lapaz, Iloilo City 1.	The City of Iloilo, through the SEF Capital Outlay, CY2019 intends to apply the sum of Forty Five Million Pesos</t>
  </si>
  <si>
    <t xml:space="preserve"> The Department of Trade and Industry - Rizal invites all interested parties to submit their quotation/proposal for the goods listed per line item below for 60 Starter Kit Packages for Sari-Sari Store through the Implementation of Negosyo Cerbisyo sa Baran</t>
  </si>
  <si>
    <t xml:space="preserve"> INVITATION TO BID IB-2020-100-INFRA Drainage Improvement and Concreting at Barangay Sauyo, District VI, Quezon City 1.	The Metropolitan Manila Development Authority, through the 2020 General Appropriations Act (GAA)intends to apply the sum of EightMillion</t>
  </si>
  <si>
    <t xml:space="preserve"> Republic of the Philippines                                           Province of Leyte     MUNICIPALITY OF ALBUERA       OFFICE OF THE BIDS AND AWARDS COMMITTEE INVITATION TO BID 	The Local Government Unit of Albuera, Leyte through its Bids and Awards Co</t>
  </si>
  <si>
    <t xml:space="preserve"> INVITATION TO BID IB-2020-102-INFRA Drainage Improvement and Concreting at Barangay BagongSilangan, District II, Quezon City 1.	The Metropolitan Manila Development Authority, through the 2020 General Appropriations Act (GAA)intends to apply the sum of Thi</t>
  </si>
  <si>
    <t xml:space="preserve"> INVITATION TO BID IB-2020-098-INFRA Improvement / Deepening of Estero De Concordia, Pandacan,  District VI, Manila 1.	The Metropolitan Manila Development Authority, through the 2020 General Appropriations Act (GAA)intends to apply the sum of ThirteenMilli</t>
  </si>
  <si>
    <t xml:space="preserve"> 15	Pcs.	85 A Toner 5	Pcs.	Duster 4	Sets	Brother Ink 2	Sets	HP Deskjet 728 Black                    HP Deeskjet 728 Yellow                HP Deskjet 728 Magenta                HP Deskjet 728 Cyan 20	Rms.	Short Bond Paper 14	Pcs.	Record Book (300pages) 6	Bo</t>
  </si>
  <si>
    <t xml:space="preserve"> INVITATION TO BID IB-2020-103-INFRA Drainage Improvement / Declogging along J. Luna St., H. Lopez Blvd., C-2 Road and Vicinity, Tondo, District II, Manila 1.	The Metropolitan Manila Development Authority, through the 2020 General Appropriations Act (GAA)i</t>
  </si>
  <si>
    <t xml:space="preserve"> Republic of the Philippines Province of Batangas Municipality of San Nicolas Invitation to Bid for the Purchase of Dump Truck to be used in Solid Waste Management 1.	The MUNICIPALITY OF SAN NICOLAS through the Continuing Appropriation – 20% Dev. Fund inte</t>
  </si>
  <si>
    <t xml:space="preserve"> INVITATION TO BID IB-2020-104-INFRA Drainage Improvement / Declogging along R-10, Pacheco St. and Vicinity, Tondo, District I, Manila City 1.	The Metropolitan Manila Development Authority, through the 2020 General Appropriations Act (GAA)intends to apply </t>
  </si>
  <si>
    <t xml:space="preserve"> INVITATION TO BID IB-2020-105-INFRA Improvement of Malabon-Tullahan River, Muzon-Concepcion,  Malabon City 1.	The Metropolitan Manila Development Authority, through the 2020 General Appropriations Act (GAA)intends to apply the sum of NineMillion, NineHund</t>
  </si>
  <si>
    <t xml:space="preserve"> ARTICLE AND DESCRIPTION											 ITEM	QTY.	UNIT						CEILING 					UNIT PRICE		TOTAL  								PRICE							 															 				Office: Universidad De Manila				PR No. 834							 				Charge to: Training Expenses				OBR No. 100-2006-05038							 				ABC:  </t>
  </si>
  <si>
    <t xml:space="preserve"> Republic of the Philippines    PROVINCIAL GOVERNMENT OF EASTERN SAMAR Provincial Capitol, 6800 Borongan City  E-mail Address: esamar.bac@gmail.com REQUEST FOR QUOTATION RFQ No. 2020-06-281                                                                   </t>
  </si>
  <si>
    <t xml:space="preserve"> 3926 cu.m. Aggregates</t>
  </si>
  <si>
    <t xml:space="preserve"> HIKVISION eASYLp 4.0 H.265+ 4MP WDR FF4.0mm IP67 Bullet IPC (12VDC/PoE. MicroSD, ColorVu HIKVISION H.265+ 160 Mbps 16CH 4SATA 1.5U NVR (Audio 1/O=1/1,Alarm I/O-= 16/4, 100M x2, HDMI xs1,4K WD Purple Surveillance HDD 8TB SATA HIKVISION 16-Port Web Managed </t>
  </si>
  <si>
    <t xml:space="preserve"> Republic of the Philippines 				 						City of Manila				 						BARANGAY 606, ZONE 60, DISTRICT VI				 						BIDS AND AWARDS COMMITTEE				 										 										June 25, 2020 										D A T E 						INVITATION TO BID 				 										 BARANGAY 606, ZONE 60, </t>
  </si>
  <si>
    <t xml:space="preserve"> Invitation to Bid  For the Repair of Classroom at Melchor L. Nava National High School, Calaparan, Arevalo, Iloilo City 1.	The City of Iloilo, through the SEF Capital Outlay, CY2019 – P 10,000,000.00; SEF Capital Outlay, CY2020 – P 1,000,000.00 intends to</t>
  </si>
  <si>
    <t xml:space="preserve"> CONSTRUCTION OF POTABLE WATER SYSTEM LEVEL II WITH 1 UNIT 2X2X2 30M CONCRETE RESERVOIR AND 4 UNITS COMMUNAL FAUCET.</t>
  </si>
  <si>
    <t xml:space="preserve"> Invitation to Bid  For the Rehabilitation/Construction of Roads at Brgy. Bakhaw, Mandurriao, Iloilo City 1.	The City of Iloilo, through the 20% Development Fund, CY2019 intends to apply the sum of Two Million Pesos (Php 2,000,000.00) being the Approved Bu</t>
  </si>
  <si>
    <t xml:space="preserve"> INVITATION TO BID IB-2020-106-INFRA Dredging of Maricaban Creek, at the Back of Magallanes Village, Makati City and Villamor Barangay 183 Pasay City 1.	The Metropolitan Manila Development Authority, through the 2020 General Appropriations Act (GAA)intends</t>
  </si>
  <si>
    <t xml:space="preserve"> The DPWH, Negros Occidental 3rd District Engineering Office, Kabankalan City, Negros Occidental, through its Bids and Awards Committee (BAC), invites contractors to submit bids for the following contract: 1. Contract ID		:	20GM0080 Contract Name	:	Upgradi</t>
  </si>
  <si>
    <t xml:space="preserve"> Invitation to Bid  For the Construction/Rehabilitation of Existing Drainage System at Brgy. Navais, Mandurriao, Iloilo City 1.	The City of Iloilo, through the 20% Development Fund, CY2019 intends to apply the sum of Two Million Pesos (Php 2,000,000.00) be</t>
  </si>
  <si>
    <t xml:space="preserve"> Invitation to Bid  For the Fabrication and Installation of Grills in Classrooms of PAGCOR Building and Four (4) Storey BEEF Building at Iloilo City National High School, Molo, Iloilo City 1.	The City of Iloilo, through the SEF, CY2018  intends to apply th</t>
  </si>
  <si>
    <t xml:space="preserve"> Invitation to Bid  For the Rehabilitation of All Gabaldon Building at Montes I Elementary School, City Proper, Iloilo City 1.	The City of Iloilo, through the SEF Capital Outlay, SB No. 2 Fund, CY2019  intends to apply the sum of Seven Million Pesos (Php 7</t>
  </si>
  <si>
    <t xml:space="preserve"> 1.Municipality of Amadeo through its GEN FUND intends to apply the sum of Php 434,600.00 being the Approved Budget Ceiling for the PURCHASE OF FURNITURE AND FIXTURES TO BE USED BY DIFFERENT OFFICES Quotation received in excess of the ABC shall be automati</t>
  </si>
  <si>
    <t xml:space="preserve"> Four (4) ea Speaker, Body Assembly &amp; 14 other line items</t>
  </si>
  <si>
    <t xml:space="preserve"> Republic of the Philippines 				 						City of Manila				 						BARANGAY 177, ZONE 16, DISTRICT II				 						BIDS AND AWARDS COMMITTEE				 										 										June 25, 2020 										D A T E 						INVITATION TO BID 				 										 BARANGAY 177, ZONE 16, </t>
  </si>
  <si>
    <t xml:space="preserve"> One Hundred Sixty (160) ea Waste Basket Plastic (small) &amp; 21 other line items</t>
  </si>
  <si>
    <t xml:space="preserve"> 1.Municipality of Amadeo through its GEN FUND intends to apply the sum of Php 192,000.00 being the Approved Budget Ceiling for the PURCHASE OF AUDIO AND VISUAL EQUIPMENT TO BE USED BY DIFFERENT OFFICES Quotation received in excess of the ABC shall be auto</t>
  </si>
  <si>
    <t xml:space="preserve"> Ten (10) rl Cable, coaxial with 18/2 power 100meters &amp; 8 other line items</t>
  </si>
  <si>
    <t xml:space="preserve"> 1.Municipality of Amadeo through its GEN FUND intends to apply the sum of Php 474,001.00 being the Approved Budget Ceiling for the PURCHASE OF IT EQUIPMENTS TO BE USED BY DIFFERENT OFFICES Quotation received in excess of the ABC shall be automatically rej</t>
  </si>
  <si>
    <t xml:space="preserve"> Republic of the Philippines 				 						City of Manila				 						BARANGAY 365, ZONE 37, DISTRICT III				 						BIDS AND AWARDS COMMITTEE				 										 										June 25, 2020 										D A T E 						INVITATION TO BID 				 										 BARANGAY 365, ZONE 37,</t>
  </si>
  <si>
    <t xml:space="preserve"> Republika ng Pilipinas PAMAHALAANG LUNGSOD NG TACLOBAN (City Government of Tacloban) Kanhuraw Hill, Tacloban City 6500 BIDS AND AWARDS COMMITTEE INVITATION TO BID  REF #041(1)-06-2020 (JUNE 25, 2020) PR# 2020-647 DATED 05-28-2020 7062711 The Procuring Ent</t>
  </si>
  <si>
    <t xml:space="preserve"> ITEM NO. 	QTY.  	UNIT        	NAME/DESCRIPTION  OF ARTICLES                                                                          (State Brand or Market Name)                                                                     						UNIT PRICE   		TOTA</t>
  </si>
  <si>
    <t xml:space="preserve"> Republic of the Philippines 				 						City of Manila				 						BARANGAY 389, ZONE 40, DISTRICT III				 						BIDS AND AWARDS COMMITTEE				 										 										June 25, 2020 										D A T E 						INVITATION TO BID 				 										 BARANGAY 389, ZONE 40,</t>
  </si>
  <si>
    <t xml:space="preserve"> Aggregates 1178 cu.m aggregates</t>
  </si>
  <si>
    <t xml:space="preserve"> Invitation to Bid  For the Construction/Rehabilitation of Existing Drainage System at Brgy. Pali-Benedicto, Mandurriao, Iloilo City 1.	The City of Iloilo, through the 20% Development Fund, CY2019 intends to apply the sum of Three Million Pesos (Php 3,000,</t>
  </si>
  <si>
    <t xml:space="preserve"> 1.Municipality of Amadeo through its GEN FUND intends to apply the sum of Php 461,900.00 being the Approved Budget Ceiling for the PURCHASE OF OFFICE EQUIPMENT TO BE USED BY DIFFERENT OFFICES  Quotation received in excess of the ABC shall be automatically</t>
  </si>
  <si>
    <t xml:space="preserve"> QTY	UNIT	ITEM DESCRIPTION 		 		"(FOTON VIEW AMBULANCE - SAA 6353)  Office of the Municipal Health Officer"  2.00 	pc	Ball Joint Lower  2.00 	pc	Ball Joint Upper  1.00 	l	Automatic Transmission Fluid  1.00 	pc	Battery 2SM 		Labor : 		Replacement of Ball Jo</t>
  </si>
  <si>
    <t xml:space="preserve"> 1.Municipality of Amadeo through its GEN FUND intends to apply the sum of Php 70,000.00 being the Approved Budget Ceiling for the PURCHASE OF PHOTOGRAPHIC EQUIPMENT TO BE USED BY DIFFERENT OFFICES Quotation received in excess of the ABC shall be automatic</t>
  </si>
  <si>
    <t xml:space="preserve"> Invitation to Bid  For the Construction/Rehabilitation of Existing Drainage System at Brgy. Tacas, Jaro, Iloilo City 1.	The City of Iloilo, through the 20% Development Fund, CY2018 intends to apply the sum of One Million Pesos (Php 1,000,000.00) being the</t>
  </si>
  <si>
    <t xml:space="preserve"> 1.Municipality of Amadeo through its GEN FUND intends to apply the sum of Php 89,500.00 being the Approved Budget Ceiling for the PURCHASE OF MEDICAL EQUIPMENT TO BE USED BY DIFFERENT OFFICES Quotation received in excess of the ABC shall be automatically </t>
  </si>
  <si>
    <t xml:space="preserve"> 2 Lengths GI Pipe, etc.</t>
  </si>
  <si>
    <t xml:space="preserve"> Republic of the Philippines 				 						City of Manila				 						BARANGAY 256, ZONE 23, DISTRICT II				 						BIDS AND AWARDS COMMITTEE				 										 										June 25, 2020 										D A T E 						INVITATION TO BID 				 										 BARANGAY 256, ZONE 23, </t>
  </si>
  <si>
    <t xml:space="preserve"> MULTI PURPOSE  VEHICLE           1 UNIT Overall (LxWxH) Maximum of: 4,435mm x 1,695mm x 1,705mm Wheelbase  :  Maximum 2,700mm: Size 16in; Wheel Type: Alloy Engine Type:    1.5 Gasoline Displacement:   1,499cc Maximum Output: 102hp@6,000rpm Maximum Torque:</t>
  </si>
  <si>
    <t xml:space="preserve"> Invitation to Bid  For the Construction/Rehabilitation/Improvement of Multi-Purpose Hall at Brgy. Bakhaw, Mandurriao, Iloilo City 1.	The City of Iloilo, through the 20% Development Fund, CY2020  intends to apply the sum of One Million Three Hundred Thousa</t>
  </si>
  <si>
    <t xml:space="preserve"> 400 mtrs THHN #60mm^2</t>
  </si>
  <si>
    <t xml:space="preserve"> Wide Format Multi Function Printer etc. NOTE:To all suppliers bid documents and BAC Resolution 2020-029 are available at BAC Office and LGU website.</t>
  </si>
  <si>
    <t xml:space="preserve"> Republic of the Philippines Province of Cavite Municipality of Naic BIDS AND AWARDS COMMITTEE PB-2020-06-034 INVITATION TO  BID  CONCRETING OF ROAD (PHASE 3) AT DUMPSITE  BRGY. SABANG, NAIC, CAVITE 1.         The Municipal Government of Naic through  2019</t>
  </si>
  <si>
    <t xml:space="preserve"> Invitation to Bid  For the Construction/Rehabilitation/Improvement of Multi-Purpose Hall at Brgy. Rizal Pala-Pala I, City Proper, Iloilo City 1.	The City of Iloilo, through the 20% Development Fund, CY2019 – P500,000.00; 20% Development Fund, CY2020 – P 2</t>
  </si>
  <si>
    <t xml:space="preserve"> COVERED COURT FLOORING QTY	UNIT	DESCRIPTION	UNIT COST	TOTAL COST 1 CONCRETE SLAB 456	Bag	Cement		 40	Cu.m	Washed Sand		 80	Cu. m	Washed Gravel		 II. WALLING 10	Bag	Cement		 2	Cu.m	Washed Sand		 4	Cu.m	Washed Gravel		 III. MASONRY WORK 296	PCS	CHB		 25	Bag</t>
  </si>
  <si>
    <t xml:space="preserve"> Republic of the Philippines Province of Cavite Municipality of Naic BIDS AND AWARDS COMMITTEE PB-2020-06-035 INVITATION TO  BID  CONSTRUCTION OF PERIMETER FENCE AT SCHOOL GROUNDS AT HILLVIEW ROYALE  BRGY. TIMALAN BALSAHAN, NAIC, CAVITE 1.         The Muni</t>
  </si>
  <si>
    <t xml:space="preserve"> Supply and Delivery of various CI and Mechanical Fittings for Potable Water The Metro Midsayap Water District (MMWD) gives notice that  quotations are invited for the Supply and Delivery of various CI Fittings for Potable Water 2 pcs - CI Mechanical Elbow</t>
  </si>
  <si>
    <t xml:space="preserve"> 1665 cu.m aggregates</t>
  </si>
  <si>
    <t xml:space="preserve"> Please submit the following documents: FUND 01 A. PhilGEPS Certificate of Registration and Membership in accordance with Section 8.5.2 of the IRR B. Mayor's Permit C. Latest Income and Tax Returns D. Omnibus Sworn Statement 300	cart	INK CART, EPSON C13T66</t>
  </si>
  <si>
    <t xml:space="preserve"> 1.	The Development Bank of the Philippines (DBP) intends to apply the sum of Two Hundred One    Million Three Hundred Ninety-Eight Thousand Nine Hundred Sixty -Two and 47/100 Pesos                             (P201,398,962.47) as the Approved Budget for t</t>
  </si>
  <si>
    <t xml:space="preserve"> Republic of the Philippines Province of Guimaras OFFICE OF THE BIDS AND AWARDS COMMITTEE INVITATION TO BID FOR    SUPPLY AND DELIVERY OF SANITATION AND DISINFECTANT SUPPLIES Bid Ref. No. 2020-06-356 1.	The Province of Guimaras , through the 2020 Regular B</t>
  </si>
  <si>
    <t xml:space="preserve"> NOTICE OF NEGOTIATED PROCUREMENT (Small Value Procurement) PNOC Exploration Corporation (PNOC EC), through its 2020 Corporate Budget, has an Approved Budget for the Contract (ABC) of Eighty Nine Thousand Four Hundred Seventy Six Pesos (Php89,476.00), incl</t>
  </si>
  <si>
    <t xml:space="preserve"> Interested suppliers are required to submit the following requirements: (1) valid Mayor’s/Business  Permit; (2) PhilGEPS Registration Number; (3) Income/Business Tax Return; (4) Omnibus Sworn  Statement; (5) Performance Security; (6) Registration Certific</t>
  </si>
  <si>
    <t xml:space="preserve"> Invitation to Bid  For the Construction/Rehabilitation/Improvement of Multi-Purpose Hall at Brgy. Rizal , Lapaz, Iloilo City 1.	The City of Iloilo, through the 20% Development Fund, CY2020 – P 3,000,000.00; 20% Development Fund, CY2019 – P 500,000.00 inte</t>
  </si>
  <si>
    <t xml:space="preserve"> Republic of the Philippines Province of Cavite Municipality of Naic BIDS AND AWARDS COMMITTEE PB-2020-06-036 INVITATION TO  BID  REPAIR/MAINTENANCE OF PUBLIC ELEMENTARY SCHOOLS, NAIC, CAVITE 1.         The Municipal Government of Naic through  2020 SEF FU</t>
  </si>
  <si>
    <t xml:space="preserve"> 1.	The Capiz Provincial Government, through the GOP–2020 intends to apply the total amount of Three Hundred Sixty-Eight Thousand Four Hundred Twenty-Five Pesos (Php 368,425.00) being the total aggregated Approved Budget for the Contract (ABC) to payments </t>
  </si>
  <si>
    <t xml:space="preserve"> Republic of the Philippines DEPARTMENT OF PUBLIC WORKS &amp; HIGHWAYS LEYTE THIRD ENGINEERING DISTRICT REGIONAL OFFICE VIII Villaba, Leyte Telefax No. (053) 552-9266 Email Add: dpwh_leyte3@yahoo.com INVITATION TO BID June 17, 2020 1.	The DPWH Third Leyte Engi</t>
  </si>
  <si>
    <t xml:space="preserve"> 2 UNITS ECO SEPTIC TANK) PROVISION AND INSTALLATION OF ECO-SEPTIC TANK FOR 10 HOUSEHOLDS IN BRGY. LA FLORA, TALACOGON. ADS</t>
  </si>
  <si>
    <t xml:space="preserve"> 2 LENGTHS GI PIPE, ETC. FOR THE ESTABLISHMENT OF 1 RCA AT SITIO BACLISE, BARANGAY ANGAS, STA. JOSEFA, ADS</t>
  </si>
  <si>
    <t xml:space="preserve"> Procurement of Construction Materials and Supplies for the construction of holding/temporary office as COVID 19 precautionary measures. 35 sheets	Corrugated G.I. Sheets - G-24 - 12feet 25 pcs.	Marine Plywood - 1/2 inch (12mm) 50 pcs.	Marine Plywood - 5mm </t>
  </si>
  <si>
    <t xml:space="preserve"> Republic of the Philippines									 DEPARTMENT OF PUBLIC WORKS &amp; HIGHWAYS									 CAMARINES SUR 3RD   									 DISTRICT ENGINEERING OFFICE									 Regional Office V									 Baras, Canaman									 									 Name of Procuring Entry: DPWH-Cam. Sur III	</t>
  </si>
  <si>
    <t xml:space="preserve"> Please submit the following documents: FUND 05 A. PhilGEPS Certificate of Registration and Membership in accordance with Section 8.5.2 of the IRR B. Mayor's Permit C. Latest Income and Tax Returns D. Omnibus Sworn Statement 1	cart	INK CART, CANON CL-811, </t>
  </si>
  <si>
    <t xml:space="preserve"> 1515 SQM. HIGH DESITY POLYETHYLENE (HDPE) LINER) PROCUREMENT AND PROVISION OF HDPE LINER FOR THE CONTRUCTION OF  MINERAL PROCESSING PLANT TAILINGS POND LINING OF CMPZ</t>
  </si>
  <si>
    <t xml:space="preserve"> 2 lengths GI Pipe etc.</t>
  </si>
  <si>
    <t xml:space="preserve"> Project Location: Agoo District Jail, San Agustin East, Agoo, La Union Contract Duration: 45 CD ABC: P647,435.33</t>
  </si>
  <si>
    <t xml:space="preserve"> Republic of the Philippines Province of Negros Occidental CITY OF VICTORIAS BIDS AND AWARDS COMMITTEE Reference No: Vict-eps20-029 INVITATION TO BID  CONSTRUCTION OF VETERINARY CLINIC AT CPSU CAMPUS, BARANGAY XIV, VICTORIAS CITY The City of Victorias, thr</t>
  </si>
  <si>
    <t xml:space="preserve"> Good Lumber etc. NOTE:To all suppliers bid documents and BAC Resolution 2020-029 are available at BAC Office and LGU website.</t>
  </si>
  <si>
    <t xml:space="preserve"> Issuance of Procurement Forms 		-	June 25-30, 2020 Opening of Quotation			-	June 30, 2020@ 10:00 A.M. Place of Delivery			-	DPWH-Bataan 1st DEO  REGINA H. AGUSTIN Assistant District Engineer BAC-Chairperson NOTED: ERLINDO R. FLORES, JR. District Engineer</t>
  </si>
  <si>
    <t xml:space="preserve"> DENR-ENVIRONMENTAL MANAGEMENT BUREAU Region 3 invites all eligible supplier to quote the following: PROCUREMENT AND DELIVERY OF PRINTING SUPPLIES HP 680 INK CARTRIDGE, BLACK---- 300pcs HP 680 INK CARTRIDE, COLORED---250pcs HP LASERJET CARTRIDGE CF285A, BL</t>
  </si>
  <si>
    <t xml:space="preserve"> Republic of the Philippines Province of Cavite Municipality of Naic BIDS AND AWARDS COMMITTEE PB-2020-06-037 INVITATION TO  BID  FABRICATION OF TABLES AND CABINETS OF DIFFERENT OFFICES, NAIC, CAVITE 1.         The Municipal Government of Naic through  202</t>
  </si>
  <si>
    <t xml:space="preserve"> Please see attached docs.</t>
  </si>
  <si>
    <t xml:space="preserve"> 50 pcs water meter 20 pcs G.I.Pipe No. 1/2" x 20 S-40 30 pcs G.I. Elbow No. 1/2" 50 pcs G.i. Coupling No. 1/2" 45 pcs G.I. Tee No. 1/2" x 1/2" 45 pcs G.I. Tee No. 1-1/2" x 1/2" 45 pcs G.I. Tee No. 1" x 1/2" 45 pcs G.I. Union Patente No. 1/2" 50 roll Teflo</t>
  </si>
  <si>
    <t xml:space="preserve"> Republic of the Philippines NATIONAL POLICE COMMISSION PHILIPPINE NATIONAL POLICE INTELLIGENCE GROUP Camp BGen Rafael T Crame, Quezon City INVITATION TO BID 1. The PNP Intelligence Group Bids and Awards Committee (PNP IG-BAC) based on the approved GAA FY </t>
  </si>
  <si>
    <t xml:space="preserve"> Republic of the Philippines PROVINCE OF ZAMBOANGA SIBUGAY Municipality of Buug BIDS AND AWARDS COMMITTEE Invitation to Bid for Procurement of Construction Materials for the Concreting of Pathway 1.	The  Barangay Villacastor of Buug, through the 20 % Devel</t>
  </si>
  <si>
    <t xml:space="preserve"> Recognition and Graduation Exercises 2020</t>
  </si>
  <si>
    <t xml:space="preserve"> 1 9 REAM/S PAPER - BOND-SUBS.16,LONG (8 1/2"X13") 2 6 REAM/S PAPER - BOOK A4,210MMX297MM,MIN OF 70GSM 3 6 REAM/S PAPER - BOOK LEGAL,216MMX330MM(8-1/2"X13"),MIN OF 70GSM 4 5 ROLL/S TAPE - MASKING #1 5 10 PC/S BALLPEN - ORDINARY, BLACK 6 10 PC/S BALLPEN - O</t>
  </si>
  <si>
    <t xml:space="preserve"> Republic of the Philippines Province of Oriental Mindoro  MUNICIPALITY OF NAUJAN BIDS AND AWARDS COMMITTEE INVITATION TO BID SUPPLY AND DELIVERY OF TWO (2) UNITS EMERGENCY TRANSPORT VEHICLE TO BE USED IN THE OFFICE OF THE MUNICIPAL MAYOR, NAUJAN, ORIENTAL</t>
  </si>
  <si>
    <t xml:space="preserve"> Demolition, Installation of Doors and windows, Floor Tiles and Repainting</t>
  </si>
  <si>
    <t xml:space="preserve"> Republic of the Philippines NATIONAL POLICE COMMISSION PHILIPPINE NATIONAL POLICE  INTELLIGENCE GROUP Camp BGen Rafael T Crame, Quezon City INVITATION TO BID 1. The PNP Intelligence Group Bids and Awards Committee (PNP IG-BAC) based on the approved GAA FY</t>
  </si>
  <si>
    <t xml:space="preserve"> 8 SET WINDOW FRAME ALUMINUM 200 PIECE WINDOW BLADE 10 SHEET MARINE PLYWOOD 1/4 38 PIECE LUMBER 2X2X8 1 KILO COMMON NAIL #/2 2 KILO COMMON NAIL #3 10 PIECE GARDEN BOLO 2 PIECE SPRINKLER 18 PACK SEEDS ASSORTED 1 PIECE SHOVEL 1 PIECE RAKE 300 PIECES MEDICINE</t>
  </si>
  <si>
    <t xml:space="preserve"> Construction Safety and Health	 1.00 	 lot  Aggregate Base Coarse	 240.00 	 cu.m.  Reinforcing Steel	 26.64 	 kgs  Portland Cement Concrete Pavement	 135.00 	 cu.m.  Formworks	 840.00 	 sq.m.  Sub-Project Billboard	 1.00 	 unit</t>
  </si>
  <si>
    <t xml:space="preserve"> AGRICULTURAL SUPPLIES 15	Pcs	Scythe, metal with handle 255	Pcs	Sacks, white 50kgs. Capacity 431	Pcs	Bamboo poles, 6ft. 3 width 20	Rolls	Plastic Tying straw, black 12	Rolls	Drying nets 2x15 meters 10	Pcs	Bilao, class A, large size 20	Pcs	Hand gloves, rubbe</t>
  </si>
  <si>
    <t xml:space="preserve"> Requesting for Quotation (RFQ) for PR No. 2006164  Interested suppliers are invited to submit Sealed Price Quotations for the above listed items. The Request for Quotation (RFQ) for may be obtained from Mr. Albert A. Camarillo City General Services Office</t>
  </si>
  <si>
    <t xml:space="preserve"> Delivery and Supply of Construction Materials</t>
  </si>
  <si>
    <t xml:space="preserve"> AGRICULTURAL SUPPLIES 60	Bottle	Insecticide-green label, cypermethrin (1lit./bottle) 60	Lit	Herbicide (post-emergence) bispyribac sodium 120	Lit	Herbicide (post-emergence) fluazipop-p-butyl, for rice and corn 1	Lit	Molluscide (bayluscide) 250ml 1	Lit	Herb</t>
  </si>
  <si>
    <t xml:space="preserve"> Republic of the Philippines Cordillera Administrative Region PROVINCIAL GOVERNMENT OF ABRA Bangued INVITATION TO BID FOR  PURCHASE OF SOIL AMELIORANT 1.	The PROVINCIAL GOVERNMENT OF ABRA, through the Budget for the Contract Approbed by the Sangguniang Pan</t>
  </si>
  <si>
    <t xml:space="preserve"> 498 bags	 Urea (46-0-0) granular white @ 50kgs/bag</t>
  </si>
  <si>
    <t xml:space="preserve"> AGRICULTURAL SUPPLIES 525	Bag	Complete Fertilizer (14-14-14) granular, 50kgs./bag 78	Bag	Ammophos granules (16-20-0) @ 50kgs 108	Bag	Muriate of Potash (0-0-60) 50kgs/bag 600	Bag	Organic Fertilizer (processed chicken manure) 10	Bag	Vermicompost</t>
  </si>
  <si>
    <t xml:space="preserve"> Supply and Delivery of Construction Materials</t>
  </si>
  <si>
    <t xml:space="preserve"> Repair of Stage (roofing) &amp; Basketball court (flooring)</t>
  </si>
  <si>
    <t xml:space="preserve"> Republic of the Philippines Cordillera Administrative Region PROVINCIAL GOVERNMENT OF ABRA Bangued INVITATION TO BID FOR  PURCHASE OF POST HARVEST AND FARM MACHINERY EQUIPMENT 1.	The PROVINCIAL GOVERNMENT OF ABRA, through the Budget for the Contract Appro</t>
  </si>
  <si>
    <t xml:space="preserve"> Requesting for Quotation (RFQ) for PR No. 2002418 Interested suppliers are invited to submit Sealed Price Quotations for the above listed items. The Request for Quotation (RFQ) for may be obtained from Mr. Albert A. Camarillo City General Services Office </t>
  </si>
  <si>
    <t xml:space="preserve"> Requesting for Quotation (RFQ) for PR No. 1911195  Interested suppliers are invited to submit Sealed Price Quotations for the above listed items. The Request for Quotation (RFQ) for may be obtained from Mr. Albert A. Camarillo City General Services Office</t>
  </si>
  <si>
    <t xml:space="preserve"> Republic of the Philippines Cordillera Administrative Region PROVINCIAL GOVERNMENT OF ABRA Bangued Invitation to Bid for  CONSTRUCTION OF MULTI-PURPOSE COVERED PAVEMENT 1.	The Provincial Government of Abra, through the Budget for the Contract Approved by </t>
  </si>
  <si>
    <t xml:space="preserve"> Purchase of 335 bags cement</t>
  </si>
  <si>
    <t xml:space="preserve"> Requesting for Quotation (RFQ) for PR No. 2002088  Interested suppliers are invited to submit Sealed Price Quotations for the above listed items. The Request for Quotation (RFQ) for may be obtained from Mr. Albert A. Camarillo City General Services Office</t>
  </si>
  <si>
    <t xml:space="preserve"> Republic of the Philippines Cordillera Administrative Region PROVINCIAL GOVERNMENT OF ABRA Bangued Invitation to Bid for  REHABILITATION OF BITUEN-LACUB ROAD 1.	The Provincial Government of Abra, through the Budget for the Contract Approved by the Sanggun</t>
  </si>
  <si>
    <t xml:space="preserve"> Requesting for Quotation (RFQ) for PR No. 2006175  Interested suppliers are invited to submit Sealed Price Quotations for the above listed items. The Request for Quotation (RFQ) for may be obtained from Mr. Albert A. Camarillo City General Services Office</t>
  </si>
  <si>
    <t xml:space="preserve"> ITEM 1: SIGNAGE ITEM 2: EARTHWORKS ITEM 3: REINFORCING STEEL BARS ITEM 4: FORM WORKS ITEM 5: MASONRY WORKS ITEM 6: CONCRETE WORKS</t>
  </si>
  <si>
    <t xml:space="preserve"> Requesting for Quotation (RFQ) for PR No. 2006131  Interested suppliers are invited to submit Sealed Price Quotations for the above listed items. The Request for Quotation (RFQ) for may be obtained from Mr. Albert A. Camarillo City General Services Office</t>
  </si>
  <si>
    <t xml:space="preserve"> Requesting for Quotation (RFQ) for PR No. 2002421 Interested suppliers are invited to submit Sealed Price Quotations for the above listed items. The Request for Quotation (RFQ) for may be obtained from Mr. Albert A. Camarillo City General Services Office </t>
  </si>
  <si>
    <t xml:space="preserve"> Requesting for Quotation (RFQ) for PR No. 2002389  Interested suppliers are invited to submit Sealed Price Quotations for the above listed items. The Request for Quotation (RFQ) for may be obtained from Mr. Albert A. Camarillo City General Services Office</t>
  </si>
  <si>
    <t xml:space="preserve"> INVITATION TO BID SUPPLY AND DELIVERY OF CONSTRUCTION MATERIALS FOR BARANGAY STREETLIGHTS, PISAAN, SAN FRANCISCO, AGUSAN DEL SUR The Barangay Local Government Unit of Pisaan, San Francisco, Agusan del Sur, through through the BIDS and AWARDS COMMITTEE (BA</t>
  </si>
  <si>
    <t xml:space="preserve"> Requesting for Quotation (RFQ) for PR No. 2001195  Interested suppliers are invited to submit Sealed Price Quotations for the above listed items. The Request for Quotation (RFQ) for may be obtained from Mr. Albert A. Camarillo City General Services Office</t>
  </si>
  <si>
    <t xml:space="preserve"> Requesting for Quotation (RFQ) for PR No. 2002150  Interested suppliers are invited to submit Sealed Price Quotations for the above listed items. The Request for Quotation (RFQ) for may be obtained from Mr. Albert A. Camarillo City General Services Office</t>
  </si>
  <si>
    <t xml:space="preserve"> Requesting for Quotation (RFQ) for PR No. 2002293  Interested suppliers are invited to submit Sealed Price Quotations for the above listed items. The Request for Quotation (RFQ) for may be obtained from Mr. Albert A. Camarillo City General Services Office</t>
  </si>
  <si>
    <t xml:space="preserve"> Apron	pcs	3 Ballpen black, 24 per box	box	2 ballpen red, 24 per box	box	2 Bathroom Tissue @12 rolls	packs	6 battery AA 2 per blister	pack	10 Bioderm Big	pcs	67 Bond Paper, long	ream	30 Bowl Brush	pcs	24 Cartolina (baby pink)	pcs	36 Cartolina (royal blue)	</t>
  </si>
  <si>
    <t xml:space="preserve"> Requesting for Quotation (RFQ) for PR No. 2002081  Interested suppliers are invited to submit Sealed Price Quotations for the above listed items. The Request for Quotation (RFQ) for may be obtained from Mr. Albert A. Camarillo City General Services Office</t>
  </si>
  <si>
    <t xml:space="preserve"> MATERIALS FOR THE IMPROVEMENT OF EVACUATION CENTER BRGY. TULAY NA LUPA, LABO, CAMARINES NORTE MATERIALS: 8	pcs.	16mm dia. DSb 13	pcs.	12mm dia. DSB 38	pcs.	10mm dia. DSB 95	bags	Portland Cement 2	cu.m. Crushed Gravel 20.5	cu.m. Washed Sand 7	kgs.	Tie Wire</t>
  </si>
  <si>
    <t xml:space="preserve"> this serves as second posting for the second bidding of brgy bagong silang 3 labo project.</t>
  </si>
  <si>
    <t xml:space="preserve"> Requesting for Quotation (RFQ) for PR No. 2002396  Interested suppliers are invited to submit Sealed Price Quotations for the above listed items. The Request for Quotation (RFQ) for may be obtained from Mr. Albert A. Camarillo City General Services Office</t>
  </si>
  <si>
    <t xml:space="preserve"> Requesting for Quotation (RFQ) for PR No. 2002388  Interested suppliers are invited to submit Sealed Price Quotations for the above listed items. The Request for Quotation (RFQ) for may be obtained from Mr. Albert A. Camarillo City General Services Office</t>
  </si>
  <si>
    <t xml:space="preserve"> Requesting for Quotation (RFQ) for PR No. 2002458 Interested suppliers are invited to submit Sealed Price Quotations for the above listed items. The Request for Quotation (RFQ) for may be obtained from Mr. Albert A. Camarillo City General Services Office </t>
  </si>
  <si>
    <t xml:space="preserve"> Requesting for Quotation (RFQ) for PR No. 2002339  Interested suppliers are invited to submit Sealed Price Quotations for the above listed items. The Request for Quotation (RFQ) for may be obtained from Mr. Albert A. Camarillo City General Services Office</t>
  </si>
  <si>
    <t xml:space="preserve"> Requesting for Quotation (RFQ) for PR No. 2002159  Interested suppliers are invited to submit Sealed Price Quotations for the above listed items. The Request for Quotation (RFQ) for may be obtained from Mr. Albert A. Camarillo City General Services Office</t>
  </si>
  <si>
    <t xml:space="preserve"> Requesting for Quotation (RFQ) for PR No. 2002287  Interested suppliers are invited to submit Sealed Price Quotations for the above listed items. The Request for Quotation (RFQ) for may be obtained from Mr. Albert A. Camarillo City General Services Office</t>
  </si>
  <si>
    <t xml:space="preserve"> Requesting for Quotation (RFQ) for PR No. 2002372  Interested suppliers are invited to submit Sealed Price Quotations for the above listed items. The Request for Quotation (RFQ) for may be obtained from Mr. Albert A. Camarillo City General Services Office</t>
  </si>
  <si>
    <t xml:space="preserve"> MATERIALS FOR THE RIPRAPPING OF CREEK BETWEEN LOT NO. 3511 AND 3514, TS 203 BRGY. TULAY NA LUPA, LABO, CAMARINES NORTE MATERIALS: 200	bags	Portland Cement 26	cu.m. Washed Sand 35	cu.m. Gravel (Apple Size) 30	cu.m. Boulders 5	pcs.	UPVC 3" 10	pcs.	12mm dia.</t>
  </si>
  <si>
    <t xml:space="preserve"> Requesting for Quotation (RFQ) for PR No. 2002306  Interested suppliers are invited to submit Sealed Price Quotations for the above listed items. The Request for Quotation (RFQ) for may be obtained from Mr. Albert A. Camarillo City General Services Office</t>
  </si>
  <si>
    <t xml:space="preserve"> This project is dealing of Brgy. Dela Paz, Lopez, Quezon</t>
  </si>
  <si>
    <t xml:space="preserve"> 1. Mobilization 2. Sidewalk 3. Concreting of Barangay Road 4. Construction Safety &amp; Health Program</t>
  </si>
  <si>
    <t xml:space="preserve"> Trash Bins  - Color: Green, Blue, Black &amp; Red  - With Signage  4 piece Trash Bins (Large)  - Color: Black  - With TESDA Logo  1 piece</t>
  </si>
  <si>
    <t xml:space="preserve"> Shopping. . . . Outside Labor (w/ necessary tools/equipment) &amp; Materials for the Fabrication &amp; Mounting/ Installation of new OPD Signage (panaflex/Sticker) per attached drawing plans, description &amp;  specification including dismantle/removal of existing/ol</t>
  </si>
  <si>
    <t xml:space="preserve"> see request of quotation for details</t>
  </si>
  <si>
    <t xml:space="preserve"> Rehab of Toilets and Counters Scope of Works 1. Implementing Program of works shall be submitted prior to implementation of project. 2. Mobilization. 3. Demolition works a. Total demolition of ceiling b. Chipping and proper disposal of toilet tiles and co</t>
  </si>
  <si>
    <t xml:space="preserve"> Republic of the Philippines Provincial Government of Northern Samar BIDS and AWARDS COMMITTEE REQUEST FOR QUOTATION Date: June 22, 2020 RFQ No.: 20-06-0173 Name of Supplier (Business Name): _________________________________________ Address: ______________</t>
  </si>
  <si>
    <t xml:space="preserve"> Shopping. . . .</t>
  </si>
  <si>
    <t xml:space="preserve"> Shopping. . . .  Outside Labor (with necessary tools/equipment and materials for fabrication including installation/ mounting of tempered glass window with sliding window and fixed grills for BMC Cashier office at 8 Storey General Wards Building (upper gr</t>
  </si>
  <si>
    <t xml:space="preserve"> Republic of the Philippines  City of Toledo -oOo- BIDS AND AWARDS COMMITTEE ITB No. G12-03-2020 INVITATION TO BID FOR: Purchase Request of Hospital Equipments for Toledo City Hospital (DOH Standard) 1.	The City Government of Toledo under the 20% Dev’t. Fu</t>
  </si>
  <si>
    <t xml:space="preserve"> Republic of the Philippines Provincial Government of Northern Samar BIDS and AWARDS COMMITTEE REQUEST FOR QUOTATION Date: June 22, 2020 RFQ No.: 20-06-0171 Name of Supplier (Business Name): _________________________________________ Address: ______________</t>
  </si>
  <si>
    <t xml:space="preserve"> Republic of the Philippines Provincial Government of Northern Samar BIDS and AWARDS COMMITTEE REQUEST FOR QUOTATION Date: June 22, 2020 RFQ No.: 20-06-0170 Name of Supplier (Business Name): _________________________________________ Address: ______________</t>
  </si>
  <si>
    <t xml:space="preserve"> Republic of the Philippines Provincial Government of Northern Samar BIDS and AWARDS COMMITTEE REQUEST FOR QUOTATION Date: June 22, 2020 RFQ No.: 20-06-0172 Name of Supplier (Business Name): _________________________________________ Address: ______________</t>
  </si>
  <si>
    <t xml:space="preserve"> MATERIALS FOR THE CONSTRUCTION OF PUBLIC UTILITY TERMINAL BRGY, TULAY NA LUPA, LABO, CAMARINES NORTE MATERIALS: 140	pcs.	16mm dia. DSb 116	pcs.	12mm dia. DSB 220	pcs.	10mm dia. DSB 301	bags	Portland Cement 19.5	cu.m. Washed Sand 5	cu.m. Boulders 47	kgs.	C</t>
  </si>
  <si>
    <t xml:space="preserve"> Shopping . . . .</t>
  </si>
  <si>
    <t xml:space="preserve"> Purchase office supplies and disinfectant for safety health measurements.</t>
  </si>
  <si>
    <t xml:space="preserve"> Office Supplies           80 tubes Riso Ink F Type, black           20 rolls Master F Type B4</t>
  </si>
  <si>
    <t xml:space="preserve"> Nabulo, Catubig, N. Samar through the 20%  BDF C.Y. 2020 intends to apply the sum of Sixty-six   Thousand Nine Hundred  Seven Pesos (Php 66,907.00) being the Approved Budget for the Street Cementing (Phase II). Quotation received in excess of the CWSR  sh</t>
  </si>
  <si>
    <t xml:space="preserve"> 2	 box	THHN Wire #12 (stranded/150 mtrs.)			 60	 pc	Led Bulb 9 watts (220 volts)</t>
  </si>
  <si>
    <t xml:space="preserve"> Republic of the Philippines  City of Toledo -oOo- BIDS AND AWARDS COMMITTEE ITB No. G11-03-2020 INVITATION TO BID FOR: Purchase Request of Medical Equipments for Toledo City Hospital (DOH Standard) 1.	The City Government of Toledo under the 20% Dev’t. Fun</t>
  </si>
  <si>
    <t xml:space="preserve"> PROJECT SIGNAGE RETAINING WALL CONSTRUCTION     A. EXCAVATION FOR FOOTING     B. REINFORCED CONCRETE WORKS     C. MASONRY WORKS     D. FORMWORKS THREE-CHAMBERED SEDIMENT/SEWERAGE TANK (3.0M X 2.0m x 4.0m deep each) PIPE CULVERT AND DRAIN EXCAVATION REMOVA</t>
  </si>
  <si>
    <t xml:space="preserve"> Item No.	QNTY	UNIT OF ISSUE	ITEM DESCRIPTION 			 1	          1	             pc	        kaspersky anti virus 5 users 			 2	          1	             pc	        Huntkey Adapter 40W</t>
  </si>
  <si>
    <t xml:space="preserve"> Small Value Procurement . . . .</t>
  </si>
  <si>
    <t xml:space="preserve"> Supply and Delivery of Rice and other food essentials in response to BAYANIHAN ACT for COVID PANDEMIC situation of the Island Municipality of Tingloy, Batangas Source of Fund:  TRUST FUND</t>
  </si>
  <si>
    <t xml:space="preserve"> Republic of the Philippines					 DEPARTMENT OF PUBLIC WORKS AND HIGHWAYS					 BUTUAN CITY DISTRICT ENGINEERING OFFICE					 REGIONAL OFFICE XIII					 Butuan City, Agusan del Norte					   Tel. Nos. 342-5331  Fax No. 225-2022					 Name of Procuring Entity: D</t>
  </si>
  <si>
    <t xml:space="preserve"> cap	Cefixime 200mg capsule	2400  	9.65   	23,160.00 Tab	Sertraline 50mg tablet	1000  	38.00	38,000.00 Amp	Terbutaline Sulfate 500mcg/ml, 1ml inj. Ampule	100	  98.00	9,800.00</t>
  </si>
  <si>
    <t xml:space="preserve"> Procurement of two (2) units motorcycle for BAC &amp; Supply Office use as per attached Request for Quotation.</t>
  </si>
  <si>
    <t xml:space="preserve"> Sir/Madam: Please quote your government price/s including delivery charges, VAT or other applicable taxes, and other incidental expenses for the goods listed in Annex A. Failure to indicate information could be basis for non - compliance. Also, furnish us</t>
  </si>
  <si>
    <t xml:space="preserve"> PROGRAM OF WORKS										 BILL OF QUANTITIES										 										 										 										 School:	SCHOOLS DIVISION OFFICE					Date:				 						Budget Allocation:		PHP 179,722.40		 Region: 	III					Engineering and Admin Overhead:				 Division:	CITY OF SAN JO</t>
  </si>
  <si>
    <t xml:space="preserve"> Republic of the Philippines Province of Agusan del Norte Municipality of Magallanes BIDS AND AWARDS COMMITTEE INVITATION TO BID The Municipality of Magallanes through its Bids and Awards Committee (BAC), invites potential and interested bidders to apply f</t>
  </si>
  <si>
    <t xml:space="preserve"> REQUEST TO SUBMIT PROPOSAL FOR (LOT 1) FOOD &amp; ACCOMMODATION IN ALBAY, (LOT 2) FOOD &amp; ACCOMMODATION IN CAMARINES SUR, (LOT 3) FOOD &amp; ACCOMMODATION IN CAMARINES NORTE, (LOT 4) FOOD &amp; ACCOMMODATION IN SORSOGON, (LOT 5) FOOD AND ACCOMMODATION IN CATANDUANES, </t>
  </si>
  <si>
    <t xml:space="preserve"> INVITATION TO BID The Bureau of Fisheries and Aquatic Resources Region 5 (BFAR 5), through the Government of the Philippines (GOP), for CY 2020 intends to apply the sum of Eight Hundred Seventy Three Thousand Five Hundred Pesos (PhP873,500.00) only, being</t>
  </si>
  <si>
    <t xml:space="preserve"> Item	Qty	Specifications 1.	Rice	500 bags	R40, 5kg per bag 2.	Canned Corned Beef	500 pcs.	150g, 100% pure beef 3.	Chocolate Drink	250 pcs.	8-35g per envelope 4.	Powdered Milk	500 pcs.	150g 5.	Pancake	500 box	500g per box 6.	Canned Tuna	1000 pcs.	180g 7.	Cu</t>
  </si>
  <si>
    <t xml:space="preserve"> 20 pcs Oxygen Gauge 20-9357</t>
  </si>
  <si>
    <t xml:space="preserve"> 50 pcs Flowmeter 20-9354</t>
  </si>
  <si>
    <t xml:space="preserve"> Procurement of IT equipment for RDS &amp; OARDC use as per attached Request for Quotation.</t>
  </si>
  <si>
    <t xml:space="preserve"> Republic of the Philippines Provincial Government of Northern Samar BIDS and AWARDS COMMITTEE REQUEST FOR QUOTATION Date: June 22, 2020 RFQ No.: 20-06-0174 Name of Supplier (Business Name): _________________________________________ Address: ______________</t>
  </si>
  <si>
    <t xml:space="preserve"> Proposed Repair of PEP</t>
  </si>
  <si>
    <t xml:space="preserve"> PHILIPPINE INFORMATION AGENCY PIA Bldg, Visayas Avenue, Diliman Quezon City REQUEST FOR QUOTATION (RFQ) The Philippine Information Agency (PIA), through its Bids and Awards Committee (BAC), hereby invites all interested suppliers to quote their lowest pri</t>
  </si>
  <si>
    <t xml:space="preserve"> Republic of the Philippines PROVINCE OF ZAMBOANGA DEL NORTE BIDS AND AWARDS COMMITTEE (BAC) BAC Conference Room, Capitol Building, Brgy. Estaka Tel. # (065) 212-6492 Telefax # (065) 212-6492 	                                                               </t>
  </si>
  <si>
    <t xml:space="preserve"> please see attached RFQ</t>
  </si>
  <si>
    <t xml:space="preserve"> REQUEST FOR QUOTATION (RFQ) The VMO  through the Bids and Awards Committee (BAC) of the Municipality of Banaybanay, Davao Oriental hereby notifies and invites you to submit your quotation/bid for the hereunder proposed project/request, viz: MONITORING OF </t>
  </si>
  <si>
    <t xml:space="preserve"> Name of the Procuring Entity LOCAL GOVERNMENT UNIT  Mahinog, Camiguin	Project Reference Number: 2020-GOODS-065 Name of Project: Supply &amp; Delivery of Rescue Equipment and Accessories Location of the Project: Poblacion, Mahinog, Camiguin 	 Standard Form Num</t>
  </si>
  <si>
    <t xml:space="preserve"> items:     216 reams bondpaper long     assorted printer ink     alcohol     chlorine disinfectant location: gutalac 1 district, gutalac, zamboanga del norte approved budget for the contract: php84,000.00 opening of bids: july 2, 2020    2:00 pm submissio</t>
  </si>
  <si>
    <t xml:space="preserve"> 500 pack Disposable Nurse Cap, 100's/pack 20-10162</t>
  </si>
  <si>
    <t xml:space="preserve"> 4,100 DIESEL 30      BRAKE FLUID</t>
  </si>
  <si>
    <t xml:space="preserve"> REQUEST TO SUBMIT PROPOSAL FOR THE SUPPLY AND DELIVERY OF                      LOT 1- REGULAR MILLED RICE AND LOT 2- OTHER SUPPLIES FOR USE IN THE IMPLEMENTATION OF ENHANCED KADIWA NI ANI AT KITA   WITH APPROVED BUDGET FOR THE CONTRACT AMOUNTING TO FOUR H</t>
  </si>
  <si>
    <t xml:space="preserve"> Const. of Slope Protection</t>
  </si>
  <si>
    <t xml:space="preserve"> 45 bags cement 3.5 cu.m. Sand 2.5 cu.m. Gravel 53 pcs 10mm0 RSB 18 pcs 12mm0 RSB 360 pcs CHB 4" 6 kgs #16 G.I. Tire wire 5 pcs O. Plywood 1/4" 120 bdft Coco lumber 3 kgs Assorted CW Nail 16 pcs G.I. Corr Roof Sheet 10" 3 pcs G. I. Gutter 8' 4 pcs G.I. End</t>
  </si>
  <si>
    <t xml:space="preserve"> TO BE BID ARE GOOD FOR THE SECOND QUARTER CONFERENCE OF CALATRAVANHONG BANTOANON AG ATI OFFICERS ON JUNE 26, 2020(FRIDAY) AT 2:00 PM</t>
  </si>
  <si>
    <t xml:space="preserve"> Specifications: Processor: Corei5 8th Gen Memory: 8Gb onboard DDR$ system memory Storage:512 SSD or with HDD Display:14-15' Full HD 1920 x 1080 16:9 Aspect ratio Battery: 4-cell Battery With wireless mouse OS: Windows 10 64bit(with CD) Rent to own for Thr</t>
  </si>
  <si>
    <t xml:space="preserve"> Republic of the Philippines Province of Iloilo Municipality of Lambunao Office of the Bids &amp; Awards Committee INVITATION TO BID/ REQUEST FOR PRICE QUOTATION Name of Project: Location: Lambunao, Iloilo ABC: Php (Supplier’s Name and Office Address) Please q</t>
  </si>
  <si>
    <t xml:space="preserve"> Purchase of Standing Wreath for the Late Resident of the municipalty</t>
  </si>
  <si>
    <t xml:space="preserve"> The Barangay Cogon – Talicud Island, Kaputian District of the Island Garden City of Samal through the 20% Development Funds CY 2019  intends to apply the sum of Two Hundred Thirty Two Thousand Eight Hundred Thirty Five Pesos and Ninety Five Centavos Only </t>
  </si>
  <si>
    <t xml:space="preserve"> Item No.	QNTY	UNIT OF ISSUE	                 ITEM DESCRIPTION 			     1	            1	             UNIT	                        Automatic Voltage Regulator (AVR) 			 			                                                                x-x-x-x-x</t>
  </si>
  <si>
    <t xml:space="preserve"> 1.	The MUNICIPALITY OF GUINAYANGAN, QUEZON, through  the  Special Education Fund (SEF) intends to apply the sum of  Fifty Two Thousand Pesos (P 52,000.00) being the Approved Budget for the Contract (ABC) to payments under the contract for Supply and Deliv</t>
  </si>
  <si>
    <t xml:space="preserve"> SEE ATTACHED DOCUMENT</t>
  </si>
  <si>
    <t xml:space="preserve"> Republic of the Philippines Provincial Government of Northern Samar BIDS and AWARDS COMMITTEE REQUEST FOR QUOTATION Date: June 22, 2020 RFQ No.: 20-06-0175 Name of Supplier (Business Name): _________________________________________ Address: ______________</t>
  </si>
  <si>
    <t xml:space="preserve"> Name of the Procuring Entity LOCAL GOVERNMENT UNIT  Mahinog, Camiguin	Project Reference Number: 2020-GOODS-066 Name of Project: Supply &amp; Delivery of Construction Materials for Fabrication of 4 Modular Tents Location of the Project: Poblacion, Mahinog, Cam</t>
  </si>
  <si>
    <t xml:space="preserve"> 8,000 Liters Diesel Fuel</t>
  </si>
  <si>
    <t xml:space="preserve"> The Municipality of President Roxas (MPR), through the Budget Approved by the Sanggunian, intends to apply the sum of One Hundred Thirty Five Thousand Pesos (Php 135,000.00) being the Approved Budget for the Contract (ABC) to payments under the contract f</t>
  </si>
  <si>
    <t xml:space="preserve"> Supply, delivery and installation of various parts for Kone Elevator  Materials: 225 mts- Hoisting rope 8mm dia. Hemp Centered x 5 length x 45 meters per length 3 pcs - Car and Counterweight buffer 3 pcs - Landing Push Button for G, 2nd and Penthouse 1 lo</t>
  </si>
  <si>
    <t xml:space="preserve"> Republic of the Philippines CITY OF MALABON Metro Manila BIDS AND AWARDS COMMITTEE I N V I T A T I O N     T O     B I D PROPOSED GREENING AND BEAUTIFICATION OF LETRE CENTER ISLAND, SIDEWALK AND EASEMENT, LOCATED AT BRGY. TONSUYA, CITY OF MALABON 1.	The C</t>
  </si>
  <si>
    <t xml:space="preserve"> Republic of Philippines								 City of Canlaon								 OFFICE OF THE BIDS AND AWARDS COMMITTEE								 REQUEST FOR SEALED QUOTATION								 								 								 				Date:	24-Jun-20			 				Quotation No.:	2020-06-0177			 				PR No.:	2020-06-182-B			 				Depar</t>
  </si>
  <si>
    <t xml:space="preserve"> VARIOUS OFFICE EQUIPMENT AND SUPPLIES</t>
  </si>
  <si>
    <t xml:space="preserve"> see attached RFQ Delivered at Brgy. Mambog Pinabacdao, Samar</t>
  </si>
  <si>
    <t xml:space="preserve"> Bid-Opening-July 14, 2020 at 2:00 p.m. at Municipal Conference Room</t>
  </si>
  <si>
    <t xml:space="preserve"> Repair/rehabilittaion of pathway</t>
  </si>
  <si>
    <t xml:space="preserve"> Please see attached RFQ # 20-1102 Submit the HARDCOPY of your SIGNED and SEALED quotation together with your UPDATED ELIGIBILITY requirement on or before the closing date of this opportunity. For more information, please contact Ma'am Coleta Quindong, APC</t>
  </si>
  <si>
    <t xml:space="preserve"> REQUEST FOR PRICE QUOTATION The Department of Justice (DOJ), through the Bids and Awards Committee (BAC) of the National Prosecution Service-Region V (NPS Region V) is inviting interested parties to submit proposal/price quotation for the project  Name of</t>
  </si>
  <si>
    <t xml:space="preserve"> l.	The MUNICIPALITY OF GUINAYANGAN, QUEZON, through  the  2020 C.O.  intends to apply the sum of  Forty One Thousand Three Hundred Sixty Two  Pesos  (P 41,362.00) being the Approved Budget for the Contract (ABC) to payments under the contract for Supply a</t>
  </si>
  <si>
    <t xml:space="preserve"> ANNEX A” 		 Price Quotation Form Date:____________________ The BAC Chairperson PMMA Complex, San Narciso, Zambales Sir/Madam: After having carefully read and accepted the terms and conditions in the Request for Quotation, hereunder is our quotation/s for </t>
  </si>
  <si>
    <t xml:space="preserve"> 375 bags cement , Portland 3 kgs CW Nails, Assorted 17 pcs RSB 16mm0 3 pcs RSB 12mm0 288 bdft Coco lumber 42 cu.m. Gravel 21 cu.m. Sand</t>
  </si>
  <si>
    <t xml:space="preserve"> Republic of the Philippines Province of Negros Occidental Municipality of Isabela INVITATION TO BID FOR THE  Purchase of One (1) Unit 4WD Double Cab/Multi-Purpose Vehicle, Isabela, Negros Occidental. 1. The MUNICIPALITY OF ISABELA, through the Capital Out</t>
  </si>
  <si>
    <t xml:space="preserve"> VARIOUS GROCERY ITEMS</t>
  </si>
  <si>
    <t xml:space="preserve"> Republic of the Philippines	 Province of Bohol	 Municipality of Buenavista	 INVITATION TO APPLY FOR ELIGIBILITY AND TO BID	 The Barangay Local Government Unit of Buenavista, Bohol, through its Bids and Awards Committee (BAC), invites suppliers/manufacture</t>
  </si>
  <si>
    <t xml:space="preserve"> Supply and Delivery of production meter. 2" (tailpiece type) The Metro Midsayap Water District (MMWD) gives notice that  quotations are invited for the Supply and Delivery of Production Meters for Potable Water 2 pcs - Production Meter, 2" (tailpiece type</t>
  </si>
  <si>
    <t xml:space="preserve"> 1	Diesel 		1445 L 2	Premium		50 L</t>
  </si>
  <si>
    <t xml:space="preserve"> Units to be Purchased: Supply and Delivery of Rackmount Servers Approved Budget for the Contract (ABC): PHP 957,000.00 **** All Servers must be branded (Globally known Brand and is Sold and Marketed continuously in the Philippines for the last ten (10) ye</t>
  </si>
  <si>
    <t xml:space="preserve"> Amp	Isosorbide Dinitrate 1mg/ml, 10ml inj. amp	   250	144.95	36,237.50 Amp	Norepinephrine 1mg/ml, 2ml ampule	 3600	108.76	391,536.00 Vial	Rabies Immunoglobulin (Human) 150 i.u/ml, 2ml inj. Vial	100	 4,100.00	 410,000.00</t>
  </si>
  <si>
    <t xml:space="preserve"> Supply and Delivery Various GI Fittings for Potable water The Metro Midsayap Water District (MMWD) gives notice that  quotations are invited for the Supply and Delivery of various GI Fittings for Potable Water 4 PCS- GI Pipe, 3"Ø, S-40 9 PCS - GI Pipe, 2"</t>
  </si>
  <si>
    <t xml:space="preserve"> VARIOUS CONSTRUCTION MATERIALS</t>
  </si>
  <si>
    <t xml:space="preserve"> Const./Rehab. of Rain Water Collector</t>
  </si>
  <si>
    <t xml:space="preserve"> PURCHASE REQUEST			 LGU BUGALLON						 Agency / Procuring Entity						 						 	Department: 		MO		Date:	 						 	Section:				Date:	 						 STOCK 		UNIT	Description	QTY	UNIT COST	AMOUNT NO.						 	1	bxs	Face Mask	100		 	2	bxs	NS1 (Dengue Test kits) 25 Test/</t>
  </si>
  <si>
    <t xml:space="preserve"> 164	sacks	Rice for consumption of AFP</t>
  </si>
  <si>
    <t xml:space="preserve"> Republika ng Pilipinas								 NATIONAL IRRIGATION ADMINISTRATION								 Pambansang Pangasiwaan ng Patubig								 Negros Occidental Irrigation Management Office								 Celis St. Bago City, Negros Occidental								 (034) 461-0494, (034) 454-2033							</t>
  </si>
  <si>
    <t xml:space="preserve"> For Office use.</t>
  </si>
  <si>
    <t xml:space="preserve"> PR#20-06-0329 ABC 83,500.00 24 pcs. G.I. Pipe 1 ¼” x 20 kg./pc., ASTM 6 pcs.   G.I. Pipe 1 ½” x 20’, 24 kg/pc. (ASTM) 60 pcs. Scaffolding Clamp 1 pc.    Heavy Duty Tarp (Trapal) 20’ x 24’ with Nylon Rope Lining &amp; Eyelid INSTRUCTIONS/ NOTES TO BIDDERS: 1. </t>
  </si>
  <si>
    <t xml:space="preserve"> CENTRIFUGAL PUMPS</t>
  </si>
  <si>
    <t xml:space="preserve"> Maintenance and Calibration of Laboratory Equipments and Instruments					 					 Top Loading Balance			1	Unit	5,000.00 Brand: Sartorius					 Model: QUINTIX1102-1S					 					 Laminar Flow Cabinet			1	Unit	10,000.00 Brand: Biobase					 Model: BKQ-Z75					 		</t>
  </si>
  <si>
    <t xml:space="preserve"> Republic of the Philippines Province of Negros Occidental Municipality of Isabela INVITATION TO BID FOR THE  Purchase of One (1) Unit Dump Truck, Isabela, Negros Occidental. 1. The MUNICIPALITY OF ISABELA, through the 20% Dev. Fund &amp; Supplemental Budget #</t>
  </si>
  <si>
    <t xml:space="preserve"> The Municipality of President Roxas (MPR), through the 20% Development Fund (2020), intends to apply the sum of One Hundred Forty Six Thousand Six Hundred Forty Pesos (Php 146,640.00) being the Approved Budget for the Contract (ABC) to payments under the </t>
  </si>
  <si>
    <t xml:space="preserve"> ABC = P91,068.50 		RENTAL 2	unts	PRINTER, A3 Wi-Fi Duplex, All-in-One Ink Tank 		-	Micro Piezo prnt head 		-	400 Nozzles Black, 128 Nozzles per color 		-	2.8 pl. with variable- sized droplet technology 		-	4,800 x 2,400 DPI 		-	Print, scan, copy, fax 		-	</t>
  </si>
  <si>
    <t xml:space="preserve"> TYPE: MONOCYRSTALLINE SOLAR PANEL POWER RATING OF 130 WATTS FEATURES: DUST OR SANDSTORM PROOF SENSOR- DAY AND NIGHT FUNCTION, START UP AND SHUT-OFF MOTION SENSOR: PIR TYPE (6-10PM 100% BRIGHTNESS STEADY OUTPUT) (10PM-6AM INFRARED SENSOR) DETECTION DISTANC</t>
  </si>
  <si>
    <t xml:space="preserve"> Construction of drainage canal p-3</t>
  </si>
  <si>
    <t xml:space="preserve"> VARIOUS MEDICAL SUPPLIES</t>
  </si>
  <si>
    <t xml:space="preserve"> 1	pcs	twin cylinder air compressor: motor: 2ph, cylinder: 2 CYL, Pressure 100-130 PSI, Phase: single, capacity: 70-100 liters 2	pcs	Deisel Generator with water pump assy: spec - Power:8-10HP, 4 Cylinder Deisel Engine 400-500 CC displaement Direct injectio</t>
  </si>
  <si>
    <t xml:space="preserve"> BIDS AND AWARDS COMMITTEE REQUEST FOR QUOTATION The Local Government Unit of Labason, Z.N., invites all interested registered supplier to submit quotation for the Purchase of Construction Materials for Renovation of Day Care Center at Gil Sanchez, Lab. ZN</t>
  </si>
  <si>
    <t xml:space="preserve"> Bid-Opening-July 14, 2020 at 2:00 p.m at Municipal Conference Room</t>
  </si>
  <si>
    <t xml:space="preserve"> 2 units Aircon, split type, inverter, 3HP, wall mounted, 230V, 60Hz, 1P with cooling load capacity of 27,000Btu/hr, inclusive of installation cost Note: please indicate brand and model (attach brochure) Please see and download the attachment</t>
  </si>
  <si>
    <t xml:space="preserve"> 12 gals Povidone Iodine</t>
  </si>
  <si>
    <t xml:space="preserve"> Const. of the Extension of Multi-Purpose Hall</t>
  </si>
  <si>
    <t xml:space="preserve"> Chicken Cut, thigh Chicken cut, breast Chicken cut, wings Chicken cut, drumstick Eggs, large Hotdog, regular size with cheese</t>
  </si>
  <si>
    <t xml:space="preserve"> Catering Services for Third, Fourth and Sixth District of Negros Occidental  3rd District  10 pax Victorias - June 25, 2020  10 pax Silay - June 30, 2020  10 pax EB Magalona - June 29, 2020  10 pax Talisay - June 26, 2020  10 pax Murcia - July 02, 2020  4</t>
  </si>
  <si>
    <t xml:space="preserve"> VARIOUS OFFICE SUPPLIES</t>
  </si>
  <si>
    <t xml:space="preserve"> DISTRIBUTION PIPES</t>
  </si>
  <si>
    <t xml:space="preserve"> Weaving Looms, 50" x 50" and warping PGO</t>
  </si>
  <si>
    <t xml:space="preserve"> Republic of the Philippines DEPARTMENT OF PUBLIC WORKS AND HIGHWAYS QUIRINO DISTRICT ENGINEERING OFFICE REGIONAL OFFICE II Cabarroguis, Quirino Procuring Entity	:	DPWH - QDEO	P.R. No.	:	2020-06-076 Revised on	:		Date	:	06/09/2020 Standard Form/Title	:	REQ</t>
  </si>
  <si>
    <t xml:space="preserve"> 2 units Laptop Specification: - Intel Core i5 - 8 GB Memory - 1TB SSD - With ODD - 14 inches  - Windows 10 Pro - 10th Gen - With Licensed Microsoft Office  - With 3 years warranty Approved Budget for the Contract: P70,000.00</t>
  </si>
  <si>
    <t xml:space="preserve"> i. Materials II. Electrical Works III. Labor IV. Hauling</t>
  </si>
  <si>
    <t xml:space="preserve"> Item	QTY.	UOM	PARTICULARS / DESCRIPTION AND SPECIFICATIONS		APPROVED	BRAND NAME	UNIT PRICE NO.					UNIT COST		 1	5	quartz	Safe Handling Acid replacement Cleaner		1,200.00		 2	5	gallon	Odor Destroyer &amp; Grain Maintenance		2,950.00		 3	8	gallon	Citrus Based </t>
  </si>
  <si>
    <t xml:space="preserve"> To All Eligible Supplies; Please quote your lowest price on the items listed below, subject to the General Conditions stated herein and submit the same to the Office of the BAC-Sectetariat on or before June 30, 2020 at 10:00 o'clock in the morning. (SGD.)</t>
  </si>
  <si>
    <t xml:space="preserve"> To provide labor, materials and tools for the Repair of Comport Rooms of Dormitory and Daycare Center Building at DA-RFO 02.</t>
  </si>
  <si>
    <t xml:space="preserve"> Republic of the Philippines Province of Davao del Sur Municipality of Padada June 24, 2020 BIDS AND AWARDS COMMITTEE INVITATION TO BID Expansion of Drainage Sytem @ Lapu-Lapu Street Brgy. Quirino District and Harada Butai, Padada, Daao del Sur  1.	The Loc</t>
  </si>
  <si>
    <t xml:space="preserve"> See Line Item</t>
  </si>
  <si>
    <t xml:space="preserve"> 2,470 PCS COVID 19 TESTING KIT</t>
  </si>
  <si>
    <t xml:space="preserve"> Section I. Invitation to Bid Republic of the Philippines Province of Camiguin Municipality of Mahinog ITB NO. 2020-INFRA-008 Invitation to Bid for the Construction of 2 Units Picnic Shed and Boardwalk at Katunggan Park 1.The Municipality of MAHINOG, inten</t>
  </si>
  <si>
    <t xml:space="preserve"> ABC = P106,100.00 8      rls	Mylar film, 24”x 20 meters 		T40B ULTRACHROME 10	         bot	Black, 80 ml 4	bot 	Cyan, 50 ml 4	bot	Magenta, 50 ml 4	bot	Yerllow, 50 ml 100	sheet	Mylar film, 17”x 21</t>
  </si>
  <si>
    <t xml:space="preserve"> 300	pcs	circle signage 10 inches 140	pcs	signage 7.5 x 10 inches</t>
  </si>
  <si>
    <t xml:space="preserve"> Republic of the Philippines					 Province of Palawan					 MUNICIPALITY OF EL NIDO					 PR No. Name of Procuring Entity: Municipal Government of El Nido			RFQ No.		 Date:		 Office/End-User: MNAO					 Company Name:					 Adress:					 Business Permit No.:				</t>
  </si>
  <si>
    <t xml:space="preserve"> see pr</t>
  </si>
  <si>
    <t xml:space="preserve"> note: please see attach supporting RFQ.</t>
  </si>
  <si>
    <t xml:space="preserve"> This project entail purchase of materials used in the Municipal quarantine facility.</t>
  </si>
  <si>
    <t xml:space="preserve"> Republic of the Philippines Province of Cotabato Municipality of Arakan BIDS AND AWARDS COMMITTEE REQUEST FOR QUOTATION  	SUPPLY OF RISO MACHINE The Local Government Unit of Arakan is inviting interested suppliers to submit price quotation to the followin</t>
  </si>
  <si>
    <t xml:space="preserve"> https://drive.google.com/file/d/1wryrsz7M4MR2due6Pz6mlvuYFzSU0aIa/view?usp=drivesdk use the link to view the bidding documents The Armed Forces of the Philippines (AFP), through the GHQ Bids and Awards Committee 1 (GHQ BAC 1), invites suppliers, manufactu</t>
  </si>
  <si>
    <t xml:space="preserve"> Payment for the replacement of some damage/defective parts of Patient Transport Vehicle HYUNDAI STAREX 234</t>
  </si>
  <si>
    <t xml:space="preserve"> 3	pages	publication of Municipal ordinance No. 80, Series 2020 3	pages	publication of Municipal ordinance No. 81, Series 2020	 2	pages	publication of Municipal ordinance No. 82,  Series 2020 2	pages	publication of Municipal Ordinance No. 83, Series 2020 4</t>
  </si>
  <si>
    <t xml:space="preserve"> PROCUREMENT OF T-SHIRT WITH EMBROIDERY FOR THE JULY 2020 LABOR FORCE SURVEY (LFS)  / 2020 ANNUAL POVERTY INDICATORS SURVEY (APIS) 1.	The Philippine Statistics Authority – Regional Statistical Services Office II  (PSA-RSSO II), through the Fiscal Year 2020</t>
  </si>
  <si>
    <t xml:space="preserve"> Republic of the Philippines CONCEPCION WATER DISTRICT San Jose, Concepcion, Tarlac Tel. No. (045) 923-0430 / 923-1576 / 628-2364 Email: concepcionwaterdistrict@yahoo.com Website: www.cpntarwaterdistrict.gov.ph Facebook: https://www.facebook.com/Concepcion</t>
  </si>
  <si>
    <t xml:space="preserve"> Rehabilitation of drainage canal</t>
  </si>
  <si>
    <t xml:space="preserve"> Republic of the Philippines Province of Nueva Vizcaya BIDS AND AWARDS COMMITTEE (BAC-Goods) BAC OFFICE, Provincial Capitol, Bayombong, Nueva Vizcaya 	 REQUEST FOR QUOTATION (RFQ) For the Procurement of Construction Materials (III) (Improvement of LMET Gua</t>
  </si>
  <si>
    <t xml:space="preserve"> 10	btl		Alcohol			rubbing, 500ml				 30	pcs		Ballpen			black, liquid gel, 0.5mm ball, needle				 30	pcs		Ballpen			blue, liquid gel, 0.5mm ball, needle				 30	pcs		Ballpen			red, liquid gel, 0.5mm ball, needle				 100	pcs		Folder 			green				 5	box		Clip	</t>
  </si>
  <si>
    <t xml:space="preserve"> 1.Office table w/ drawers (3 right side and 1 center) (6) set    120 cm. W* 60 cm. D* 75 cm. H; with high back office chair xxxxxxxxxxx</t>
  </si>
  <si>
    <t xml:space="preserve"> 200	pcs	Balitbitan seedlings 1-2ft 100	pcs	Bitaog seddlings 1-2ft 20	pcs	Dwarf Coconut seedlings 1-2ft 6	pcs	Mankono seedlings 2 ft 100	pcs	Tanguille 1-2 ft 2000	pcs	Polyethelene bags, 5x7 2000	pcs	polyethelene bags, 8x10 20	packs	Insecticide/ Fungicide 2</t>
  </si>
  <si>
    <t xml:space="preserve"> 6 unit Shovel, wood handle, round head 6 bottle Growth hormone  6 bottle Pesticide 1000 ml/btl. 20 pcs Steel bar, 12mm 1 box Welding rod</t>
  </si>
  <si>
    <t xml:space="preserve"> Improvement of Multipurpose - Brgy, Tapul</t>
  </si>
  <si>
    <t xml:space="preserve"> For Business Center use.</t>
  </si>
  <si>
    <t xml:space="preserve"> Republic of the Philippines Province of Negros Occidental Municipality of Isabela INVITATION TO BID FOR THE  Purchase of One (1) Unit Manlift Truck, Isabela, Negros Occidental. 1. The MUNICIPALITY OF ISABELA, through the Supplemental Budget #1 CY2020 – in</t>
  </si>
  <si>
    <t xml:space="preserve"> Procurement of MOOE Supplies of Mahayag ES 1st Quarter</t>
  </si>
  <si>
    <t xml:space="preserve"> Republic of the Philippines BIDS AND AWARDS COMMITTEE Brgy. #5 DAVILA Pasuquin, Ilocos Norte REQUEST FOR QUOTATION ________________________                                                           DATE: _________________                     Name of Suppl</t>
  </si>
  <si>
    <t xml:space="preserve"> 1.	The MUNICIPALITY OF GUINAYANGAN, QUEZON, through  the  2020 MOOE  intends to apply the sum of  Seventy Five Thousand Six Hundred  Pesos (P 75,600.00) being the Approved Budget for the Contract (ABC) to payments under the contract for Supply and Deliver</t>
  </si>
  <si>
    <t xml:space="preserve"> 1.Hybrid corn seeds @ 18kg/bag (70) bags xxxxxxxxxxxx</t>
  </si>
  <si>
    <t xml:space="preserve"> CONSTRUCTION MATERIALS</t>
  </si>
  <si>
    <t xml:space="preserve"> INVITATION TO BID CONSTRUCTION OF SANITARY LANDFILL, CATEGORY 1 SANTOL, LA UNION 1.	The Municipal Government of Santol, La Union through the MDF-2020 intends to apply the sum of THREE MILLION PESOS (Php3,000,000.00) being the Approved Budget for the Contr</t>
  </si>
  <si>
    <t xml:space="preserve"> -2- Units - Air-Con, 1.0HP, Wall Mounted Split type Inverter, Branded with Installation</t>
  </si>
  <si>
    <t xml:space="preserve"> COSTRUCTION OF HANDWASHING FACILITY</t>
  </si>
  <si>
    <t xml:space="preserve"> 1	unit	Electric Trike (Specification: Length: 3,300 mm, Width: 1,440 mm, Height: 1,820 mm, Wheelbone: 2,450 m, Thread: 1,240mm, Ground Clearance: 170 mm, Net Weight: 530 kg, Gross Weight: 915 kg, Passenger Capacity: 6 +1 (Driver), Maximum Speed: 50 kph, M</t>
  </si>
  <si>
    <t xml:space="preserve"> To provide labor, materials and tools for the Construction of Elevated Concrete Reservoir at DA-NCES , Maguire, Lucban, Abulug, Cagayan</t>
  </si>
  <si>
    <t xml:space="preserve"> 2	unit	Branded Laptop  		Display size- 15.60-inch 		Processor Core i5 		Battery Capacity 3220mAh 		Graphics Nvidia GeForce MX150 		Display resolution 1920x1080 pixels 		RAM 4GB  		Hard disk 1TB 		 Weight 2.20 kg 		OS Windows 10 Home 		Connectivity: Wi-Fi </t>
  </si>
  <si>
    <t xml:space="preserve"> see attached RFQ Delivered at Oras Eastern, Samar                        Taft Eastern, Samar</t>
  </si>
  <si>
    <t xml:space="preserve"> REQUEST FOR QUOTATION Procurement of Goods [Tools for Transportation and MotorpoolUse][Repost] The   City Government of Tagbilaran, through its Bids and Awards Committee (BAC) intends to apply the sum of One Hundred Thirty-Two Thousand Two Hundred Fifty-F</t>
  </si>
  <si>
    <t xml:space="preserve"> BLGU-STAFE-AL-G-01-2020 PURCHASE/INSTALLATION SOLAR STREET LIGHT BRGY. STA. FE, ABUYOG, LEYTE</t>
  </si>
  <si>
    <t xml:space="preserve"> Republic of the Philippines MUNICIPALITY OF QUEZON Province of Quezon INVITATION TO BID Date	: June 29, 2020 The Municipality of Quezon, through its Bids and Awards Committee (BAC), invites supplier/manufactures/distributors/contractors to apply for eligi</t>
  </si>
  <si>
    <t xml:space="preserve"> 2 boxes Paracetamol tab 500mg 10 btls Paracetamol syrup 125mg 10 btls Paracetamol syrup 250mg 2 boxes Loperamide capsule 2 boxes Lagundi capsule 10 btls Lagundi syrup 59 btls Multivitamins syrup 2 boxes Multivitamins capsule 70 btls Ascorbic acid syrup 2 </t>
  </si>
  <si>
    <t xml:space="preserve"> 20 pax Negros Occidental - Class 1  21 pax Negros Occidental - Class 2  1 Full day board and lodging with 3 Meals and 2 Snacks  Meals &amp; Snacks:  - 3 buffet meals with 2 snacks daily  - Meal provision to start Am snacks on the 1st day &amp; to end Breakfast  -</t>
  </si>
  <si>
    <t xml:space="preserve"> 1.Broadcast Ads (3) month xxxxxxxxxxxxx</t>
  </si>
  <si>
    <t xml:space="preserve"> It is the intent of the Taal Water District to procure on a lump sum basis. Prices must be quoted in Philippine Peso and must include the unit price and total price, inclusive of all taxes to be paid and other incidental cost to the delivery site/s if the</t>
  </si>
  <si>
    <t xml:space="preserve"> Republic of the Philippines DEPARTMENT OF PUBLIC WORKS AND HIGHWAYS EASTERN SAMAR DISTRICT ENGINEERING OFFICE REGIONAL OFFICE VIII Borongan City, Eastern Samar INVITATION TO BID The Department of Public Works and Highways Eastern Samar District Engineerin</t>
  </si>
  <si>
    <t xml:space="preserve"> mimeo paper long 50 reams printer ink-664 black 15 bottles printer ink-003 (4color) 10 sets printer ink-664 (4color) 5sets bondpaper long s20 50reams bondpaper short s20 50reams ballpen-black 50 pcs sign pen- black 30 pcs celo tape 1inch 20 rolls celo tap</t>
  </si>
  <si>
    <t xml:space="preserve"> LOT A									 1	Unleaded Gasoline							1	lot	18,600.00 	Terms &amp; conditions:									 										 	1. The supplier shall start to serve within three (3) days upon receipt of the advice									 	           from the project engineer until the project is co</t>
  </si>
  <si>
    <t xml:space="preserve"> Supply and Delivery of 15 pcs. Automatic Touchless Alcohol Dispenser. 1. Automatic Touchless Alcohol Dispenser 2. Hand Disinfection Alcohol Spray Machine Sensor 3. With Stand 4. Capacity - 1000ml</t>
  </si>
  <si>
    <t xml:space="preserve"> 1.	The MUNICIPALITY OF GUINAYANGAN, QUEZON, through  the  2020 MOOE  intends to apply the sum of  One Hundred Ninety Two Thousand Four Hundred Forty  Pesos                 (P 192,440.00) being the Approved Budget for the Contract (ABC) to payments under t</t>
  </si>
  <si>
    <t xml:space="preserve"> Please quote your lowest price inclusive of VAT on the item/s listed below, subject to the Terms and Conditions of this RFQ, and submit your quotation duly signed by your representative not later July 2, 2020 at 10:00 AM at Bids and Awards Committee at BA</t>
  </si>
  <si>
    <t xml:space="preserve"> 1 unit - Rostrum Acrylic Rostrum on 3/8 thick clear/frosted finish with stainless square tube on double side for bracing 1x1 on 1.5mm thick stainless base, with SRA logo mounted on front Height: 1.2m Width: 80cm *For inquiries, please call: 8929-3633 and </t>
  </si>
  <si>
    <t xml:space="preserve"> Date:		 				Quotation No. 		 ____________________________						 _____________________________						     Please quote your lowest price on the item/s listed below subject to the General Conditions on the last page, stating the shortest time of delivery and</t>
  </si>
  <si>
    <t xml:space="preserve"> Province of Cotabato Municipality of Arakan Barangay Napalico BIDS AND AWARDS COMMITTEE Invitation for Negotiated Procurement Installation of Water Tank 	In view of the two (2) failed public bidding the Barangay Government of Napalico Bids and Awards Comm</t>
  </si>
  <si>
    <t xml:space="preserve"> 1.3x4' ft. tarpaulins (1000) pcs xxxxxxxxxxxxx</t>
  </si>
  <si>
    <t xml:space="preserve"> REQUEST FOR QUOTATION 								Date: 		6/04/2020 								RFQ No.: 	20-53 Name of Business: 		_____________________________________________________ Address: 			_____________________________________________________ Name of Store:		___________________________</t>
  </si>
  <si>
    <t xml:space="preserve"> 1.Open pollinated variety (OPV) (210) bags    Corn seeds @ 20 kgs/bag xxxxxxxxx</t>
  </si>
  <si>
    <t xml:space="preserve"> Qty.  Unit   Description		 2	lots	16 channel CCTV Systems with the fllowing specifications		 				 		16 Channel Pentabrid video recorder		 		16 pcs, HDVCI CCTV Camera indoor/outdoor, 2MP or better		 		1 unit, 6TB HDD, surveillance hard disk		 		6 rolls, si</t>
  </si>
  <si>
    <t xml:space="preserve"> 10000	pcs	two (2) pcs, carbonless print Paper 4"x6.5"</t>
  </si>
  <si>
    <t xml:space="preserve"> Please see attached request for Quotation</t>
  </si>
  <si>
    <t xml:space="preserve"> Republic of the Philippines Province of Nueva Vizcaya BIDS AND AWARDS COMMITTTEE (GOODS) BAC OFFICE, Provincial Capitol, Bayombong, Nueva Vizcaya 	 		Negotiated Procurement (2nd Failure of Bidding) 2nd REQUEST FOR QUOTATION (RFQ)  For the Procurement of H</t>
  </si>
  <si>
    <t xml:space="preserve"> Republic of the Philippines PROVINCE OF ZAMBOANGA DEL NORTE BIDS AND AWARDS COMMITTEE (BAC) BAC Conference Room, Capitol Building, Brgy. Extaka, Dipolog City Tel. # (065) 212-6492 Telefax # (065) 212-6492                                                   </t>
  </si>
  <si>
    <t xml:space="preserve"> MUNICIPALITY OF BORBON DESCRIPTION: 60 VIALS VAXIRAB N SOLUTION FOR INJECTION 25 VIALS EQUIRAB SOLUTION FOR INJECTION</t>
  </si>
  <si>
    <t xml:space="preserve"> The Municipality of President Roxas (MPR), through the Budget Approved by the Sanggunian, intends to apply the sum of Seventy Five Thousand Pesos (Php 75,000.00) being the Approved Budget for the Contract (ABC) to payments under the contract for the Procu</t>
  </si>
  <si>
    <t xml:space="preserve"> 10	btl		Alcohol			rubbing, 500ml				 5	boxes		Clip			backfold, 19mm, 12pcs per box				 5	boxes		Clip			backfold, 25mm, 12 pcs per box				 10	boxes		Data File box			(5" x 9" x 15-3/4") 127mm x 229mm x 400mm w/ closed ends and ring files				 10	pcs		Data Fo</t>
  </si>
  <si>
    <t xml:space="preserve"> 6 Set Tire 7.50 x 16, 14 ply, CT 163, mixed lug with inner tube and flap PVET</t>
  </si>
  <si>
    <t xml:space="preserve"> CONTRACT OF SERVICES FOR THE UPDATING OF PROTECTED AREA MANAGEMENT PLAN OF PALAUI ISLAND PROTECTED LANDSCAPE AND SEASCAPE (PIPLS) THE SERVICE WILL INCLUDE  FACILITATION OF THE FOLLOWING ACTIVITIES: -PROVIDE DESCRIPTION OF THE PROTECTED AREA ACCORDING TO T</t>
  </si>
  <si>
    <t xml:space="preserve"> 1900	pcs	Pototan seedlings, 1-2ft 1000	pcs	Umbrella Tree seedlings, 1-2ft 75	pcs	Dwarf Coconut seedling, 1-2ft</t>
  </si>
  <si>
    <t xml:space="preserve"> 1.	The MUNICIPALITY OF GUINAYANGAN, QUEZON, through  the  2020 MOOE  intends to apply the sum of  One Hundred Forty Two Thousand One Hundred Eighty Pesos                 (P 142,180.00) being the Approved Budget for the Contract (ABC) to payments under the</t>
  </si>
  <si>
    <t xml:space="preserve"> 1.		Sand, washed 		28 cu.  2.		Gravel, well graded #3/4” dia. 		15 cu.m  3.		Portland cement 		258 bags  4.		Concrete Hollow Blocks, 4”X8”X16” 		1400 pcs  5.		RSB, 16mm Ø (84pcs) 		795.48 6.		RSB, 12mm Ø (28pcs) 		149.24 7.		RSB, 10mm Ø (200pcs) 		740 kg </t>
  </si>
  <si>
    <t xml:space="preserve"> To provide labor and materials for the production of Flyers</t>
  </si>
  <si>
    <t xml:space="preserve"> 909		pcs	Mono block Chair</t>
  </si>
  <si>
    <t xml:space="preserve"> 2 per month Radio Program on Social Pension  (20 minute-long)  (4 programs per month) **NOTHING FOLLOWS**</t>
  </si>
  <si>
    <t xml:space="preserve"> waste buggy 3units</t>
  </si>
  <si>
    <t xml:space="preserve"> Province of Cotabato Municipality of Arakan Barangay Meocan BIDS AND AWARDS COMMITTEE Invitation for Negotiated Procurement Installation of P.E Pipes @ Sitio Upper Meocan 	In view of the two (2) failed public bidding the Barangay Government of Meocan Bids</t>
  </si>
  <si>
    <t xml:space="preserve"> 1.	The Municipal Government of Placer, through the Budget for the contract approved by the respective Sanggunian-  General Fund CY 2020 intends to apply the sum of One Million Five Hundred Thousand Pesos (₱ 1,500,000.00) being the Approved Budget for the </t>
  </si>
  <si>
    <t xml:space="preserve"> .</t>
  </si>
  <si>
    <t xml:space="preserve"> 2 boxes Paracetamol tab 500mg 12 btls Paracetamol syrup 125mg 12 btls Paracetamol syrup 250mg 2 boxes Loperamide capsule 2 boxes Lagundi capsule 10 btls Lagundi syrup 80 btls Multivitamins syrup 3 boxes Multivitamins capsule 100 btls Ascorbic acid syrup 4</t>
  </si>
  <si>
    <t xml:space="preserve"> Republic of the Philippines Province of South Cotabato BIDS AND AWARDS COMMITTEE Salada Street, Poblacion Tupi, South Cotabato Tel. Fax No.: (083) 226-1045 INVITATION TO BID FOR THE SUPPLY AND DELIVERY OF OFFICE &amp; OTHER SUPPLIES 1.	The Municipality of Tup</t>
  </si>
  <si>
    <t xml:space="preserve"> THERMAL SCANNER , FACE MASK MASK , FACE SHIELDS,DISINFECTANT TRAY , GLOVES , DIGITAL SCALE,ETHYL ALCOHOL , LYSOL , CHLORINE AND PARACETAMOL.</t>
  </si>
  <si>
    <t xml:space="preserve"> 2  units  Printer   Specs:  DCP-T710W 3-in-1 Print, Copy, Scan               Colour Inkjet MFC Printer up to 12/10 ppm ( ISO )               150 Sheets Default Paper Tray Manual Feed Slot               20 Sheets Auto Documnet Feeder               1 Line L</t>
  </si>
  <si>
    <t xml:space="preserve"> ITEM 3047.6 LTRS DIESEL FUEL</t>
  </si>
  <si>
    <t xml:space="preserve"> 1.Folder long (100) pcs 2.Folder A4 (100) pcs 3.Correction tape 12s (10) bxs 4.Sign pen black (50) pcs 5.Sign pen blue (50) pcs 6.Permanent marker pen black 12s (1) bxs 7.Permanent marker pen blue 12s (1) bxs 8.Record book junior 300 pages (20) pcs 9.Glue</t>
  </si>
  <si>
    <t xml:space="preserve"> 1 job Radiator repair and overhaul BACKHOE-03 1 job Radiator repair and overhaul PL-03 1 pc Clutch booster assy FUSO 8DC9 long 1 pc Clutch booster assy ISUZU !)PDI-105mm long 6 pcs oil filter M3000- 102740</t>
  </si>
  <si>
    <t xml:space="preserve"> 19,047 bot. Alcohol, 70% Ethyl, 250ml.            x-x-x-x-x</t>
  </si>
  <si>
    <t xml:space="preserve"> -250- bags - Portland Cement -200- pcs. - RSB, 12mmØ x 6.0m -60- pcs. - RSB, 10mmØ x 6.0m -50- kgs. - G.I. Tie Wire # 16  -140- cu.m - White Sand -50- pcs. - Ordinary Plywood (1/4" thick x 4'x8') -150- pairs - Working Gloves -150- pcs. - Good Lumber (50mm</t>
  </si>
  <si>
    <t xml:space="preserve"> The Philippine Carabao Center at USM through its Bids and Awards Committee (BAC) invites PhilGEPS registered suppliers to apply to bid for the Supply and Delivery of Packaging Supplies. Sticker for 1 li Fresh Milk 1000ml 	10000 pcs Sticker for 1 li Choco </t>
  </si>
  <si>
    <t xml:space="preserve"> Republic of the Philippines DEPARTMENT OF PUBLIC WORKS &amp; HIGHWAYS LEYTE THIRD ENGINEERING DISTRICT REGIONAL OFFICE VIII Villaba, Leyte Telefax No. (053) 552-9266 Email Add: dpwh_leyte3@yahoo.com INVITATION TO BID  June 17, 2020 The Department of Public Wo</t>
  </si>
  <si>
    <t xml:space="preserve"> Province of Cotabato Municipality of Arakan Barangay Tumanding BIDS AND AWARDS COMMITTEE Invitation for Negotiated Procurement Construction of Multi-purpose Bldg. @ sitio side B 	In view of the two (2) failed public bidding the Barangay Government of Tuma</t>
  </si>
  <si>
    <t xml:space="preserve"> Various Office Supplies</t>
  </si>
  <si>
    <t xml:space="preserve"> Joint sealer - For use in sealing cracks and joints within the district</t>
  </si>
  <si>
    <t xml:space="preserve"> Republic of the Philippines Province of Nueva Vizcaya BIDS AND AWARDS COMMITTTEE (GOODS) BAC OFFICE, Provincial Capitol, Bayombong, Nueva Vizcaya 	 		Negotiated Procurement (2nd Failure of Bidding) REQUEST FOR QUOTATION (RFQ)  For the Procurement of One (</t>
  </si>
  <si>
    <t xml:space="preserve"> The AGRICULTURAL TRAINING INSTITUTE-REGIONAL TRAINING CENTER (ATI-RTC) X, through the 2020 General Appropriations Act intends to apply the sum of Fifty Eight Thousand Four Hundred Pesos (P 58,400.00) being the Approved Budget for the Contract (ABC) to pay</t>
  </si>
  <si>
    <t xml:space="preserve"> PLEASE SEE ATTACHED DOCUMENT</t>
  </si>
  <si>
    <t xml:space="preserve"> l.	The MUNICIPALITY OF GUINAYANGAN, QUEZON, through the  2020  MDF   intends to apply the sum of  One Hundred Forty Six Thousand Seven Hundred Fourteen  Pesos                                  (P 146,714.00) being the Approved Budget for the Contract (ABC)</t>
  </si>
  <si>
    <t xml:space="preserve"> 750	PACKS	SQUASH 36 seeds per pack 750	PACKS	TOMATO 200 seeds/pack 750	PACKS	EGGPLANT 300 seeds/pak 750	PACKS	OKRA/200 seeds/pack 750	PACKS	AMPALAYA 10 seeds/pack 750	PACKS	POLE SITAO 100 seeds/pack 		 70	packs	TOMATO SEEDS, (diamante max),  200 seeds/pac</t>
  </si>
  <si>
    <t xml:space="preserve"> Standard Form Number: SF-                                                              Republic of the Philippines Standard Form Title: Request for                                                                                                       Taclo</t>
  </si>
  <si>
    <t xml:space="preserve"> 150	Sv	Meals for Lunch/packed – Menu: rice, fried chicken, sweet &amp; sour fillet,  		Chicken chopsuey, softdrinks 200ml, fruits 		 150	Sv	Snacks: Hamburger w/ egg &amp; bottled iced tea 230ml 		 60	Sv	Meals for Lunch/packed – Menu: rice, fish fillet, Chicken ch</t>
  </si>
  <si>
    <t xml:space="preserve"> CONSTRUCTION materials for the repair of Tanod Outpost</t>
  </si>
  <si>
    <t xml:space="preserve"> Republic of the Philippines Department of Health DAVAO REGIONAL MEDICAL CENTER Apokon, Tagum City BIDS AND AWARDS COMMITTEE INVITATION TO BID FOR THE SUPPLY, DELIVERY, INSTALLATION and COMMISSIONING of BRAND NEW DIGITAL RADIOGRAPHY/FLUOROSCOPY X-RAY MACHI</t>
  </si>
  <si>
    <t xml:space="preserve"> Annex A 																 Civil Service Commission																 Constitution Hills, Batasang Pambansa Complex Diliman, Quezon City,																 																 REQUEST FOR QUOTATION																 																 														RFQ No.	2020-051 NP</t>
  </si>
  <si>
    <t xml:space="preserve"> REQUEST FOR QUOTATION (RFQ) The MOTORPOOL  through the Bids and Awards Committee (BAC) of the Municipality of Banaybanay, Davao Oriental hereby notifies and invites you to submit your quotation/bid for the hereunder proposed project/request, viz: FOR REPA</t>
  </si>
  <si>
    <t xml:space="preserve"> QTY	UNIT	DESCRIPTIONS 20	pcs	Plyboard 3/4 30	kg	Metal Plaring 1"x4"x3m 80	pcs	Concealed Hinges 27	sets	Cabinet Lock 250	pcs	Black Screw 2	gal.	Polytuff 2	gals	Flat Latex 2	gals	Gloss Latex 1	box	Blind Rivets 5/32" 45	pcs	Slotted Angle</t>
  </si>
  <si>
    <t xml:space="preserve"> 1.Toner cart. black CB435ABN (4) pcs 2.Board paper long pastel colors (5) packs 3.Ballpen blue color 48s (1) bxs 4.Sign pen blue color 10s (2) bxs 5.Paper fastener plastic multi color 50s (3) bxs 6.Record book 500 pages (4) bxs 7.Record book 300 pages (4)</t>
  </si>
  <si>
    <t xml:space="preserve"> Republic of the Philippines Department of Education Caraga Administrative Region DIVISION OF CABADBARAN CITY 818-5356 Request for Quotation Date: June 18, 2020 Quotation No.: 2020-107 To all service providers: I. Please quote your lowest price inclusive o</t>
  </si>
  <si>
    <t xml:space="preserve"> https://drive.google.com/file/d/1BwSSTulHH8CGtc_u-6hnBtCgqD7LU8DD/view?usp=drivesdk use link to view the bidding documents The Armed Forces of the Philippines (AFP), through the GHQ Bids and Awards Committee 1 (GHQ BAC 1), invites suppliers, manufacturers</t>
  </si>
  <si>
    <t xml:space="preserve"> 1 unit Swivel Chair 15 unit Foldable Lifetime Table - 6seaters 1 unit Office Table</t>
  </si>
  <si>
    <t xml:space="preserve"> Republic of the Philippines Province of Davao Del Sur Municipality of Padada INVITATION TO BID June 24, 2020 SUPPLY AND DELIVERY OF VARIOUS CONSTRUCTION MATERIALS FOR THE EXPANSION OF CONCRETE DRAINAGE CANAL (U TYPEDRANAGE SYSTEM) 1.	The Local Government </t>
  </si>
  <si>
    <t xml:space="preserve"> 29 units Toner Cartridge M455  3 units DRUM Cartridge M455 **NOTHING FOLLOWS**</t>
  </si>
  <si>
    <t xml:space="preserve"> PROCUREMENT OF IT EQUIPMENT USED IN THE DEPED/ALS CHARGE TO SEF CPONTINUING OF 2019</t>
  </si>
  <si>
    <t xml:space="preserve"> Republic of the Philippines Province of Ilocos Sur Vigan City INVITATION TO BID FOR  Tobacco Farmers/Cooperatives' Hybrid Corn Seed Subsidy for Alternative Farming Livelihood Project 1.	The Provincial Government of Ilocos Sur, through the Special Budget N</t>
  </si>
  <si>
    <t xml:space="preserve"> 11	sets		Window Blinds			for conference room 2				 						size: 4.43ft x 7.87ft</t>
  </si>
  <si>
    <t xml:space="preserve"> l.	The MUNICIPALITY OF GUINAYANGAN, QUEZON, through  the  2020 MOOE    intends to apply the sum of  One Hundred Eighty Nine Thousand Eighty Pesos                                  (P 189,080.00) being the Approved Budget for the Contract (ABC) to payments </t>
  </si>
  <si>
    <t xml:space="preserve"> Firetruck 2 pcs  Tire 700x16 Mag/set 14PR 1 pc   Tube 700x16 Garbage Truck 2 2 pcs  Tire 700x16 MFR nylon w/tube &amp; flop 4 pcs  Tire 700x16 MRF Lug nylon w/tube &amp; flop</t>
  </si>
  <si>
    <t xml:space="preserve"> API 20E Strip+reagent kit			2	Sets	50,000.00 &gt;API 20E, strip					 &gt;API 20E reagents (set)					 -Mineral oil					 -Oxidase reagent					 -API NaCl 0.85% medium (5ml)					 -McFarland Standard					 					 API Staph, Strip + reagent kit			2	Sets	45,000.00 inclu</t>
  </si>
  <si>
    <t xml:space="preserve"> 290 pair Rubber Boots, size 7 290 pair Rubber Boots, size 8 300 pair Rubber Boots, size 9              x-x-x-x-x</t>
  </si>
  <si>
    <t xml:space="preserve"> 100 units CV Ink Black (S-7220)  2 rolls CV Master B4 (S-7040)  2 pc Drum DR411 (BH423-03)  2 pc Developer DV411 (BH423-02)  1 pc Developing Unit (A1UDR73000) **NOTHING FOLLOWS**</t>
  </si>
  <si>
    <t xml:space="preserve"> 1	Automotive Diesel Fuel 							1	lot	122,960.00 	terms &amp; condition:									 	1. The supplier shall start to serve within three (3) days upon receipt of the advice									 	           from the project engineer until the project is completed.									 	2</t>
  </si>
  <si>
    <t xml:space="preserve"> Please see attached purchase request</t>
  </si>
  <si>
    <t xml:space="preserve"> 15 ream hardcopy bondpaper long   2ream hadrcopy bondpaper short 100 pcs fastenes aexpandable 3   ream folder long 15 pcs record book 300s 60 pcs ballpen ( black/blue/red) 8 bots epson ink black 12 bot epson  i nk colored</t>
  </si>
  <si>
    <t xml:space="preserve"> construction materials</t>
  </si>
  <si>
    <t xml:space="preserve"> Leak Noise Analysis: Minimum level indication Frequency Response: 1 to 5000hz Filters: All band + infinitely adjustable narrow filter Memory: 8 last measurements Display: LCD with backlight Power: 4 standard 1.5V AA Alcaline Batteries Battery LIfe: Typeca</t>
  </si>
  <si>
    <t xml:space="preserve"> Garbage Truck 1 1 pcs Turbo Charger Assy (3778529) Wiper Arm w/blade</t>
  </si>
  <si>
    <t xml:space="preserve"> QTY	UNIT	DESCRIPTION 4	PCS	G.I. PIPE 3/4"Ø S40 10	PCS	SQUARE BAR 10MMØ 1	PC.	ROUND BAR 12MMØ 4	PCS	HANGING DOOR ROLLER  4	METERS	SLIDING DOOR RAIL (2"X3"X1.5MM) 2	SETS	PVC DOOR 2	PCS	DOOR KNOB 8	PCS	EXPANSION BOLT 12MMØ 2	PCS	PADLOCK 5	KGS	WELDING ROD 1	G</t>
  </si>
  <si>
    <t xml:space="preserve"> Republic of the Philippines Province of Bohol Municipality of Tubigon BIDS AND AWARDS COMMITTEE Tel/Fax. No. (038) 508-8059 REQUEST FOR QUOTATION For Small Value Procurement under Sec. 53.9 of the Revised IRR of R.A. 9184 Quotation No: 2020-06-304 P. R. N</t>
  </si>
  <si>
    <t xml:space="preserve"> 1-unit-Service Van; brand new; white					           Overall Dimensions: 5,265 x 1,950 x 1,990 mm; Wheelbase:					           3,860mm; Seating Capacity: 12; Engine Type: 4 Cylinders,					           In-line Type 16-Valve DOHC; Engine Displacement: 2,755cc			</t>
  </si>
  <si>
    <t xml:space="preserve"> Supply and Delivery of various  Construction Supply</t>
  </si>
  <si>
    <t xml:space="preserve"> Province of Cotabato Municipality of Arakan Barangay Anapolon BIDS AND AWARDS COMMITTEE Invitation for Negotiated Procurement Concrete Perimeter Fence of Brgy Hall 	In view of the two (2) failed public bidding the Barangay Government of Anapolon Bids and </t>
  </si>
  <si>
    <t xml:space="preserve"> Republic of the Philippines ANGELES CITY WATER DISTRICT Pampang Road, Brgy. Lourdes Northwest, Angeles City   (045) 458-0384; (045) 458-0382; (045) 458-0372  (045)322-6422; (045)458-0371, Fax No.: (045)322-6926 E-mail address:  angelescitywd@gmail.com Web</t>
  </si>
  <si>
    <t xml:space="preserve"> SSS Bacolod Branch Supply of Diesel Fuel for Service Vehicle SSHG 343 &amp; SHG 310  for the period July 2020 to December 2020 Specifications: 2,400 liters - Diesel or approved equal for automotive - Euro 4 compliant - Biodegradable and Non-Toxic - Fuel Stati</t>
  </si>
  <si>
    <t xml:space="preserve"> For the purchase of Livestocks (Swine) and Starter Feeds under ARBold Move for Deliverance of our Farmers from COVID-19 Pandemic, ARBold Project. Area of delivery: Brgy. Salngan, Passi City Brgy. Agtabo, Passi City Brgy. Devera, Sara, Iloilo 30 Heads - Sw</t>
  </si>
  <si>
    <t xml:space="preserve"> RFQ for the subscription of Newspaper for use of City Library Batangas City</t>
  </si>
  <si>
    <t xml:space="preserve"> PLEASE SEE ATTACHED INVITATION TO BID</t>
  </si>
  <si>
    <t xml:space="preserve"> Republic of the Philippines Province of Ilocos Sur Vigan City INVITATION TO BID FOR  Security Services for the Provincial Government of Ilocos Sur 1.	The Provincial Government of Ilocos Sur, through the GF-Security Services intends to apply the sum of PhP</t>
  </si>
  <si>
    <t xml:space="preserve"> 10 BOTTLES OF OXYTETRACYCLINE (100ML) 50 VIAL OF ROBIPENSTREP (10ML) 50 BOTTLES OF ANIMYCIN (60ML) 250 SACHETS OF VETRACIN PREMIUM (5g) 250 SACHETS OF DOXYLAK FORTE (7g) 250 SACHETS OF PORK ACE (5g) 200 SACHETS OF AMBROXITIL (5g) 200 SACHETS OF PARA-V (6g</t>
  </si>
  <si>
    <t xml:space="preserve"> MUNICIPALITY OF PANIQUI Province of Tarlac 	Project Reference Number : G-2020-005 Name of the Project           : Supply &amp; Delivery of various Medicine, Medical, Dental &amp; Laboratory  Supplies for RHU-I, RHU-II and PGH Location of the Project     :  LGU, P</t>
  </si>
  <si>
    <t xml:space="preserve"> Fabrication of table divider, faceshield, and face mask for the new normal SY 2020-2021</t>
  </si>
  <si>
    <t xml:space="preserve"> 30 drum Chlorine Granules, 40kg per drum 70%               x-x-x-x-x</t>
  </si>
  <si>
    <t xml:space="preserve"> See attached file</t>
  </si>
  <si>
    <t xml:space="preserve"> Please see attached RFQ.</t>
  </si>
  <si>
    <t xml:space="preserve"> Republic of the Philippines Province of South Cotabato BIDS AND AWARDS COMMITTEE Salada Street, Poblacion Tupi, South Cotabato Tel. Fax No.: (083) 226-1045 INVITATION TO BID FOR THE SUPPLY AND DELIVERY OF CONSTRUCTION MATERIALS FOR THE CONSTRUCTION OF BAH</t>
  </si>
  <si>
    <t xml:space="preserve"> ITEM NO. QUANTITY UNIT ITEM DESCRIPTION 1 1 UNIT BRAND NEW 6 WHEELER DUMP TRUCK VEHICLE DIMENSIONS (mm) 1. Wheelbase 2. Front overhang 3. Rear overhang 4. Wheel track of front axle 5. Wheel track of rear axle 6. Chassis length 7. Approach angle (°) 8. Dep</t>
  </si>
  <si>
    <t xml:space="preserve"> see associated components for downloadable RFQ 2020-4076</t>
  </si>
  <si>
    <t xml:space="preserve"> Name of the Procuring Entity LOCAL GOVERNMENT UNIT  Mahinog, Camiguin	Project Reference Number: 2020-GOODS-RFQ-067 Name of Project: Supply &amp; Delivery of Tires and Battery Location of the Project: Poblacion, Mahinog, Camiguin 	 Standard Form Number: SF-GOO</t>
  </si>
  <si>
    <t xml:space="preserve"> REQUEST FOR QUOTATIONS: Please quote your best offer for the item/s described below, subject to the Terms and Conditions provided at the dorsal portion of this request for quotation. Submit your quotation duly signed by you or your duly representative and</t>
  </si>
  <si>
    <t xml:space="preserve"> 1 lot Electrical Works</t>
  </si>
  <si>
    <t xml:space="preserve"> 50 pcs      1.0m dia.  Reinforced Concrete Pipe</t>
  </si>
  <si>
    <t xml:space="preserve"> 100	tab		Captopril			25mg				 1000	tab		Cetirizine			10mg				 1000	cap		Ferrous Sulfate							 1000	tab		Paracetamol			Phenylpropanolamine				 1000	tab		Lagundi			600mg				 2000	tab		Vitamin C			500mg				 1000	tab		Multivitamins			with Amino Acid				 10	b</t>
  </si>
  <si>
    <t xml:space="preserve"> purchase of materials &amp; installation of Solar streetlights of the Barangay</t>
  </si>
  <si>
    <t xml:space="preserve"> rubbing alcohol 500ml 30 bot broom "paypay" 30 pcs broom stick 30 pcs bulb-18 watts essential 50 pcs concrete nails #1 inch 10 kilos concrete nails #2 inch 10 kilos plastic faucet-1/2 inch 60 pcs padlock 50 mm 50 pcs chlorine 50 killos muriatic acid 1l 20</t>
  </si>
  <si>
    <t xml:space="preserve"> Please send your quotation or e-mail your quotation with copy of the following: 	Registration certification from SEC/DTI or CDA whichever is applicable 	Mayors’ Permit from the principal place of business 	PhilGEPs Registration 	Tax Clearance per exec</t>
  </si>
  <si>
    <t xml:space="preserve"> Office</t>
  </si>
  <si>
    <t xml:space="preserve"> Covid-19 prevention and monitoring</t>
  </si>
  <si>
    <t xml:space="preserve"> LGU - San Antonio, Zambales					 Office of the MSWDO					 					 					 REQUEST FOR QUOTATION					 				Date:  	 				Quotation No. : 	 ______________________________________					 ______________________________________					 					 	Please quote your lowest pri</t>
  </si>
  <si>
    <t xml:space="preserve"> The CNSC Bids and Awards Committee would like to invite interested bidders to quote their lowest price for the following: Item No.    Unit of Issue   Quantity   Description 1               pcs                 946         Face Mask (washable), cotton, subl</t>
  </si>
  <si>
    <t xml:space="preserve"> To provide labor, materials and tools for the Supply and Installation of 3HP Inverter Floor  Mounted Air Conditioning Units of PMED Staff Office</t>
  </si>
  <si>
    <t xml:space="preserve"> Republic of the Philippines Province of Cotabato Municipality of Arakan Barangay Ma. Caridad BIDS AND AWARDS COMMITTEE REQUEST FOR QUOTATION Supply and Installation of P.E Tanks, 1 Unit   The Barangay Local Government Unit of Ma. Caridad is inviting inter</t>
  </si>
  <si>
    <t xml:space="preserve"> AGRICULTURAL SUPPLIES 200	Bag	Inbreed Rice Seeds NSIC RC216 (CS) @40kg/bag 67	Bag	Pioneer 73 15kg/bags (hybrid) 100	Kilos	Inipot Ibon, Black Rice Seeds, 1kg/bag 100	Kilos	Pinursige, red/brown rice, 1kg/bag 150	Kg.	Corn Seeds (glutinous corn, special type-</t>
  </si>
  <si>
    <t xml:space="preserve"> 1 LOT - Procurement for Catering Services for 17 Days during the Series of Activities in Preparation for the ISO 9001:2015 2nd Surveillance Audit  Capacity Building on Control of Documented Information Remote Audit  July 6, 2020 12 pax with 1 meal and 2 s</t>
  </si>
  <si>
    <t xml:space="preserve"> Supply &amp; Delivery of Printer for Cashier's Office 01D(CO) F11-2020 Kindly see attached file. Thank you!</t>
  </si>
  <si>
    <t xml:space="preserve"> NOTICE OF NEGOTIATED PROCUREMENT (Two Failed Biddings) TO ALL INTERESTED BIDDERS We are pleased to invite you in our negotiation conference for the project requirements requirement To hire contractor to provide materials, labor and equipment for two (2) I</t>
  </si>
  <si>
    <t xml:space="preserve"> 1	1	lot		Publication of City Ordinances 				* No 244 (of 2020) 				* No 245 (of 2020) 				* No 246 (of 2020) 				* No 247 (of 2020) 				* No 248 (of 2020) 				(6 1/2 pages. 3 issues, as per Layout) 				x-x-x-x-x-x-x Nothing Follows x-x-x-x-x-x-x</t>
  </si>
  <si>
    <t xml:space="preserve"> supply and delivery of spare parts</t>
  </si>
  <si>
    <t xml:space="preserve"> PR2020-06-024 - Purchase and Delivery of Office Equipment, Supplies and Consumables for use of this Office</t>
  </si>
  <si>
    <t xml:space="preserve"> INSTALLATION OF SOLAR STREET LIGHTS</t>
  </si>
  <si>
    <t xml:space="preserve"> Republic of Philippines								 City of Canlaon								 OFFICE OF THE BIDS AND AWARDS COMMITTEE								 REQUEST FOR SEALED QUOTATION								 								 				Date:	6/24/2020			 				Quotation No.:	2020-06-038			 				PR No.:	2020-06-051-D			 				Department:	CEO</t>
  </si>
  <si>
    <t xml:space="preserve"> 2	subs.		Internet Connectivity			10mbps new subscription</t>
  </si>
  <si>
    <t xml:space="preserve"> ITEM: 10 pcs Concrete Cutter Blade(18-inches)							 6 pcs Concrete Cutter Blade(14-inches)							 5 pcs Belt							 10 pcs (Pillow Block)Bearing							 PURPOSE: FOR STOCKING												 ABC: PHP 242,000.00 DELIVERY SCHEDULE:  10 CALENDAR DAYS</t>
  </si>
  <si>
    <t xml:space="preserve"> Republic of the Philippines  PROVINCIAL GOVERNMENT OF EASTERN SAMAR Provincial Capitol, 6800 Borongan City  E-mail Address: esamar.bac@gmail.com REQUEST FOR QUOTATION RFQ No. 2020-06-128                                                                     </t>
  </si>
  <si>
    <t xml:space="preserve"> Sir/Madam:																																						 																																						 Please quote your government price/s including delivery charges, VAT or other applicable taxes, and other incidental expenses for the goods listed in Annex A.  Also, f</t>
  </si>
  <si>
    <t xml:space="preserve"> 2	pcs. Hand held-M3 OX10 (NWSCBP)-Mobile Device with-3.8G Network, Wifi(IEEE802.11a/b/g/n),Scanner(ID), Camera (3.2MP), BT Class II v2.0+EDR &amp; AGPS,3.5" QVGA TFT LCD Colour Touch Screen, Microsoft® Windows Embedded CE 6.0, Coretex-A8 833Mhz,256MB/1GB,M3 U</t>
  </si>
  <si>
    <t xml:space="preserve"> Various Spare Parts</t>
  </si>
  <si>
    <t xml:space="preserve"> 1 set turbo assy &amp; 12 others</t>
  </si>
  <si>
    <t xml:space="preserve"> Mass production of R &amp; D  Annual Report 2019 Book</t>
  </si>
  <si>
    <t xml:space="preserve"> INVITATION TO BID (Rebid) Procurement of Construction Materials for the Concreting of Perimeter Fence at new PNP building The LGU Surallah through the Bids and Awards Committee (BAC) is inviting suppliers to bid for the supply and delivery of GOODS/INFRAS</t>
  </si>
  <si>
    <t xml:space="preserve"> 1	Automotive Diesel Fuel							1	LOT	122,599.87 	Terms &amp; Conditions:									 	1. The supplier shall start to serve within three (3) days upon receipt of the advice									 	           from the project engineer until the project is completed.									 	2</t>
  </si>
  <si>
    <t xml:space="preserve"> Republic of the Philippines DEPARTMENT OF PUBLIC WORKS AND HIGHWAYS THIRD LEYTE ENGINEERING DISTRICT OFFICE Regional Office VIII Villaba, Leyte NOTICE OF POSTING @ PHILGEPS / DPWH WEBSITE / BULLETIN BOARD  June 22, 2020 The DPWH Leyte Third Engineering Di</t>
  </si>
  <si>
    <t xml:space="preserve"> Republic of the Philippines DONA ROSARIO ELEMENTARY SCHOOL Quezon City REQUEST FOR QUOTATION “IMPROVEMENT OF COMPUTER ROOM” 1.	The DONA ROSARIO Elementary School through its Bids and Awards Committee invites interested firms/supplier to submit quotation t</t>
  </si>
  <si>
    <t xml:space="preserve"> Epson ink 360(black)					10	bottles Epson ink 360 (blue)					10	bottles White board marker					10	pieces Thermal scanner					9	pieces Foot bath mat					2	pcs Alcohol dispenser pump					10	pcs alcohol dispenser (foot operated)   					5	pcs Disposable face </t>
  </si>
  <si>
    <t xml:space="preserve"> Province of Cotabato Municipality of Arakan Barangay Kabalantian BIDS AND AWARDS COMMITTEE Invitation for Negotiated Procurement Purchase of Rescue Vehicle Bonggo 	In view of the two (2) failed public bidding the Barangay Government of Kabalantian Bids an</t>
  </si>
  <si>
    <t xml:space="preserve"> Construction of Multi-Purpose Building (New Building Phase I), Ugac Sur, Tuguegarao City</t>
  </si>
  <si>
    <t xml:space="preserve"> 100	Serving	Meals, Buffet, Lunch 		Rice, beef steak, pork menudo, chopsuey, softdrinks 200ml, bottled water 		350ml, fruit 		Day 1 		 100	Serving	Meals, Buffet, Lunch 		Rice, tinolang isda, pancit guisado, lumpia shanghai, softdrinks 200ml,  		bottled wat</t>
  </si>
  <si>
    <t xml:space="preserve"> please contact RBAC Secretariat.</t>
  </si>
  <si>
    <t xml:space="preserve"> For use in the installation of cabinet of the maintenance section</t>
  </si>
  <si>
    <t xml:space="preserve"> DRUGS AND MEDICINES</t>
  </si>
  <si>
    <t xml:space="preserve"> Please see attached Technical Specifications</t>
  </si>
  <si>
    <t xml:space="preserve"> 110		pcs	Ballpen (Black) 				 15		pcs	Ballpen (Blue)				 4		packs	Battery AAA , 3pcs/pack				 103		reams	Bond Paper (A4) 80gsm Multicopy				 17		reams	Bond Paper (Legal) 80 gsm Multicopy				 2		reams	Bond Paper (Letter) 80gsm Multicopy				 2		reams	Bond P</t>
  </si>
  <si>
    <t xml:space="preserve"> See attached specifications</t>
  </si>
  <si>
    <t xml:space="preserve"> INVITATION TO BID The Nueva Ecija University of Science and Technology through its Bids and Awards Committee (BAC), invites entities to bid for the hereunder projects: 	 Name of Project: ELECTRO-MECHANICAL AND INDUSTRIAL MOTOR CONTROL TRAINING SYSTEM Loca</t>
  </si>
  <si>
    <t xml:space="preserve"> BIDS AND AWARDS COMMITTEE REQUEST FOR QUOTATION The Local Government Unit of Labason, Z.N., invites all interested registered supplier to submit quotation for the Purchase of CCTV with Installation for PNP Labason Station Surveillance: Approved Budget for</t>
  </si>
  <si>
    <t xml:space="preserve"> please see attached purchased request...</t>
  </si>
  <si>
    <t xml:space="preserve"> 1	Automotive Diesel Fuel 							1	lot	204,380.00 										 	Terms &amp; Condition:									 	1. The supplier shall start to serve within three (3) days upon receipt of the advice									 	           from the project engineer until the project is completed.	</t>
  </si>
  <si>
    <t xml:space="preserve"> Supply and Delivery of One (1) Unit Multi Cab (Rebuilt/Reconditioned), Ugac Sur, Tuguegarao City</t>
  </si>
  <si>
    <t xml:space="preserve"> SSS Sagay Branch Supply of Diesel Fuel   for the period July 2020 to December 2020 Specifications: 1757 liters - Diesel or approved equal for automotive - Euro 4 compliant - Biodegradable and Non-Toxic - Fuel Station must be accessible to SSS Sagay  Branc</t>
  </si>
  <si>
    <t xml:space="preserve"> Materials / Uniforms:  -250- pcs. - T-shirt White without collar printed with Logo of DPWH in front at the left side  -250- pcs. - CAP with DPWH Logo -250- pcs. - Raincoats (Poncho) with Logo at the front left side and DPWH MAINTENANCE</t>
  </si>
  <si>
    <t xml:space="preserve"> Republic of Philippines								 City of Canlaon								 OFFICE OF THE BIDS AND AWARDS COMMITTEE								 REQUEST FOR SEALED QUOTATION								 								 				Date:	24-Jun-20			 				Quotation No.:	2020-06-0156			 				PR No.:	2020-06-156-E			 				Department:	SP</t>
  </si>
  <si>
    <t xml:space="preserve"> 1 1 BOX/S BALLPEN - ORDINARY,RED 50'S 2 5 BOX BALLPEN - BLACK ORDINARY 50'S 3 5 REAM/S PAPER - BOND COLORED LONG-YELLOW 4 5 REAM/S PAPER - BOND COLORED LONG-BLUE 5 10 REAM/S PAPER - BOND COLORED LONG-PINK 6 45 REAM/S PAPER - BOOK LEGAL,216MMX330MM(8-1/2"X</t>
  </si>
  <si>
    <t xml:space="preserve"> PR2020-06-025 - Purchase and Delivery of Airconditioning and Aircondnitioning System for use of this office</t>
  </si>
  <si>
    <t xml:space="preserve"> See attachment/s.</t>
  </si>
  <si>
    <t xml:space="preserve"> cabinet for BOD and water dispenser</t>
  </si>
  <si>
    <t xml:space="preserve"> See Attachment!!</t>
  </si>
  <si>
    <t xml:space="preserve"> INVITATION TO BID (Rebid) Procurement of Construction Materials for the Construction of Perimeter Niches, Brgy. Dajay, Surallah The LGU Surallah through the Bids and Awards Committee (BAC) is inviting suppliers to bid for the supply and delivery of GOODS/</t>
  </si>
  <si>
    <t xml:space="preserve"> Quantity	"Unit of  Issue"	PARTICULARS				"Stock  No."	"Estimated Unit  Cost"	Estimated Cost 		Office Equipment of GDSS for Official use of  DENR-INREMP						 5	unit	PRINTER				1	 10,500.00 	 52,500.00  		Specifications:						 		A4 Multifunction						 		Pr</t>
  </si>
  <si>
    <t xml:space="preserve"> BAC Schedule of Activities</t>
  </si>
  <si>
    <t xml:space="preserve"> Inquire at the Office of Sangguniang Panlalawigan - BM Arrogancia for details.</t>
  </si>
  <si>
    <t xml:space="preserve"> Inquire at the Office of the Provincial Engineer for details.</t>
  </si>
  <si>
    <t xml:space="preserve"> Inquire at the Office of Sangguniang Panlalawigan - BM Sio for details.</t>
  </si>
  <si>
    <t xml:space="preserve"> Inquire at the Office of the Provincial Planning and Development Coordinator for details.</t>
  </si>
  <si>
    <t xml:space="preserve"> Inquire at the Office of Sangguniang Panlalawigan - BM Ubana II for details.</t>
  </si>
  <si>
    <t xml:space="preserve"> Inquire at the Office of the Provincial Veterinarian for details.</t>
  </si>
  <si>
    <t xml:space="preserve"> Inquire at the Office of Quezon Medical Center for details.</t>
  </si>
  <si>
    <t xml:space="preserve"> Terms of Delivery: FOB Zamboanga City-WMSU</t>
  </si>
  <si>
    <t xml:space="preserve"> Inquire at the Office of the Provincial Governor for details.</t>
  </si>
  <si>
    <t xml:space="preserve"> Terms of Delivery: FOB for the following Delivery Hub/Location</t>
  </si>
  <si>
    <t xml:space="preserve"> Inquire at the Office of Sangguniang Panlalawigan - BM Obispo for details.</t>
  </si>
  <si>
    <t xml:space="preserve"> Inquire at the Office of Magsaysay Memorial District Hospital for details.</t>
  </si>
  <si>
    <t xml:space="preserve"> Inquire at the Office of Economic Enterprise Unit for details.</t>
  </si>
  <si>
    <t xml:space="preserve"> 1. All entries must be printed or type written					</t>
  </si>
  <si>
    <t xml:space="preserve"> Inquire at the Office of San Narciso Municipal Hospital for details.</t>
  </si>
  <si>
    <t xml:space="preserve"> Inquire at the Office of BIDS and AWARDS Committee for details.</t>
  </si>
  <si>
    <t xml:space="preserve"> Check associated components.</t>
  </si>
  <si>
    <t xml:space="preserve"> CONTACT PERSON:</t>
  </si>
  <si>
    <t xml:space="preserve"> Also available at the DPWH Website.</t>
  </si>
  <si>
    <t xml:space="preserve"> 1</t>
  </si>
  <si>
    <t xml:space="preserve"> Inquire at the Office of Guinayangan Medicare Community Hospital for details.</t>
  </si>
  <si>
    <t xml:space="preserve"> Inquire at the Office of Doña Marta Memorial District Hospital for details.</t>
  </si>
  <si>
    <t xml:space="preserve"> Inquire at the Office of Candelaria Municipal Hospital for details.</t>
  </si>
  <si>
    <t xml:space="preserve"> Inquire at the Office of Sampaloc Medicare Community Hospital for details.</t>
  </si>
  <si>
    <t xml:space="preserve"> Inquire at the Office of Ma. L. Eleazar Memorial District Hospital for details.</t>
  </si>
  <si>
    <t xml:space="preserve"> Inquire at the Office of  Doña Marta Memorial District Hospital for details.</t>
  </si>
  <si>
    <t xml:space="preserve"> Republic of the Philippines </t>
  </si>
  <si>
    <t xml:space="preserve"> Mazda Bongo XTD</t>
  </si>
  <si>
    <t xml:space="preserve"> Lowest calculated and responsive bidder.</t>
  </si>
  <si>
    <t xml:space="preserve"> Bidder / Supplier must download the attached document in Associated Components.</t>
  </si>
  <si>
    <t xml:space="preserve"> Please Quote your lowest price on the item/s listed below, subject to the General Conditions, stating the shortest time of delivery and submit your quotation duly signed by your representative not later than June 29, 2020 (4:00 PM) 3rd floor Provincial Capitol,Bontoc Mountain Province.</t>
  </si>
  <si>
    <t xml:space="preserve"> https://drive.google.com/file/d/1lH9HQ_F6t5heE8ZjNaKIAfCqXkDZ54gz/view?usp=drivesdk</t>
  </si>
  <si>
    <t xml:space="preserve"> 1.	All prospective suppliers must first submit photocopies of Class “A” Documents, and other Requirements together with the “Original’s” for the conduct of Business Inspection to determine their eligibility prior transacting business with PNPC. </t>
  </si>
  <si>
    <t xml:space="preserve"> https://drive.google.com/file/d/1Jid32240KGlF_qNwjvoRqeOXHYcpBzjw/view?usp=drivesdk</t>
  </si>
  <si>
    <t xml:space="preserve"> https://drive.google.com/file/d/15i3DiuhKEVHjs0pkM80ypze-pDqnIVps/view?usp=drivesdk</t>
  </si>
  <si>
    <t xml:space="preserve"> https://drive.google.com/file/d/17Ax7XN5ZFFzL9ONgbQCdZPyYEA5FcTS_/view?usp=drivesdk</t>
  </si>
  <si>
    <t xml:space="preserve"> https://drive.google.com/file/d/1y7aj_hNCdro8pIieY9shQy1ist8Za75Y/view?usp=drivesdk</t>
  </si>
  <si>
    <t xml:space="preserve"> https://drive.google.com/file/d/1mnYOu4BfMeT5zdQb0AuBdvaDnsOmDfAK/view?usp=drivesdk</t>
  </si>
  <si>
    <t xml:space="preserve"> https://drive.google.com/file/d/1V1ZFl6us22EzJfDm2FhI6gmfnlwA9vp8/view?usp=drivesdk</t>
  </si>
  <si>
    <t xml:space="preserve"> See attached RFQ</t>
  </si>
  <si>
    <t xml:space="preserve"> https://drive.google.com/file/d/1W95gF6DqbGw-ZLTKIw43GfdOUa5L2p4h/view?usp=drivesdk</t>
  </si>
  <si>
    <t xml:space="preserve"> https://drive.google.com/file/d/1t9EJ6OTBWcwR1gp5LQJirKd-scNzHO2p/view?usp=drivesdk</t>
  </si>
  <si>
    <t xml:space="preserve"> Please see attached Specifications</t>
  </si>
  <si>
    <t xml:space="preserve"> EMERGENCY TRANSPORT MOTOR VEHICLE</t>
  </si>
  <si>
    <t xml:space="preserve"> NO</t>
  </si>
  <si>
    <t xml:space="preserve"> SHERVANDO S. MACALA</t>
  </si>
  <si>
    <t xml:space="preserve"> kindly specify brand names on your sealed quotation</t>
  </si>
  <si>
    <t xml:space="preserve"> The  schedule of activities is listed, as follows:							</t>
  </si>
  <si>
    <t xml:space="preserve"> See attached Quotation form</t>
  </si>
  <si>
    <t xml:space="preserve"> please call To: 0998-247-0239  &amp;  0906-256-9238  for other details . . .</t>
  </si>
  <si>
    <t xml:space="preserve"> please call To: 0998-247-0239  &amp;  0906-256-92378  for other details . . .</t>
  </si>
  <si>
    <t xml:space="preserve"> please call To: 0998-247-0239  &amp;  0906-256-9238  for other details. .</t>
  </si>
  <si>
    <t xml:space="preserve"> Please download the document at the associated components.</t>
  </si>
  <si>
    <t xml:space="preserve"> please call To:  0998-247-0269 &amp; 0906-256-9238 for other details</t>
  </si>
  <si>
    <t xml:space="preserve"> with free use of Riso Machine</t>
  </si>
  <si>
    <t xml:space="preserve"> please call To: 0998-247-0239  &amp;  0906-256-9238  for other details . . . .</t>
  </si>
  <si>
    <t xml:space="preserve"> PLEASE SEE ATTACHED RFQ FOR MORE DETAILS.</t>
  </si>
  <si>
    <t xml:space="preserve"> Other information</t>
  </si>
  <si>
    <t xml:space="preserve"> To Our Supplier, Bid Documents are Available at BAC Secretariat</t>
  </si>
  <si>
    <t xml:space="preserve"> Pre-Bid Conference 2:00 P.M. July 01, 2020 DPWH Pampanga 2nd DEO BAC-Office</t>
  </si>
  <si>
    <t xml:space="preserve"> For further details please contact</t>
  </si>
  <si>
    <t xml:space="preserve"> A complete set of Bidding Documents may be acquired by interested Bidders on October 30, 2018 from the address below and upon payment of the applicable fee for the Bidding Documents, pursuant to the latest Guidelines issued by the GPPB, in the amount of One Thousand Pesos (Php500.00).</t>
  </si>
  <si>
    <t xml:space="preserve"> SUPPLIERS/BIDDERS MUST DOWNLOAD THE ATTACHED DOCUMENT IN THE ASSOCIATED COMPONENT SECTION.</t>
  </si>
  <si>
    <t xml:space="preserve"> BAC ACTIVITY DATES:</t>
  </si>
  <si>
    <t xml:space="preserve"> Submit your quotation together with your PhilGEPS Cert</t>
  </si>
  <si>
    <t xml:space="preserve"> Republic of the Philippines										</t>
  </si>
  <si>
    <t xml:space="preserve"> June 25, 2020</t>
  </si>
  <si>
    <t xml:space="preserve"> Note:									</t>
  </si>
  <si>
    <t xml:space="preserve"> The bidders must download the attached documents in the associated components section.</t>
  </si>
  <si>
    <t xml:space="preserve"> REMINDERS:</t>
  </si>
  <si>
    <t xml:space="preserve"> Specifications:</t>
  </si>
  <si>
    <t xml:space="preserve"> 2.	A set of technical specifications for the above items are provided in Attachment/s # 1.  All items listed under the purchasers’ specifications must be complied on a pass-fail basis.  Failure to meet any one of the requirements may result to rejection.</t>
  </si>
  <si>
    <t xml:space="preserve"> Download RFQ and Memo at the associated components and submit both documents.</t>
  </si>
  <si>
    <t xml:space="preserve"> Please see attached file</t>
  </si>
  <si>
    <t xml:space="preserve"> ENGR. LUKE C. CADOYAS</t>
  </si>
  <si>
    <t xml:space="preserve"> For more information,please see or contact the BAC Members of LGU-Magallanes, Sorsogon.</t>
  </si>
  <si>
    <t xml:space="preserve"> https://drive.google.com/file/d/1wryrsz7M4MR2due6Pz6mlvuYFzSU0aIa/view?usp=drivesdk</t>
  </si>
  <si>
    <t xml:space="preserve"> Republic of the Philippines</t>
  </si>
  <si>
    <t xml:space="preserve"> CONSTRUCTION OF WASH AREA AND FABRICATION OF ACRYLIC SNEEZE GUARDS	FOR THE PUPILS AND TEACHERS OF CHFES-MAIN</t>
  </si>
  <si>
    <t xml:space="preserve"> bidders must download the attached document in the associated components section.</t>
  </si>
  <si>
    <t xml:space="preserve"> Kindly download attached file.</t>
  </si>
  <si>
    <t xml:space="preserve"> TECHNICAL SPECIFICATIONS</t>
  </si>
  <si>
    <t xml:space="preserve"> NOTICE TO PROSPECTIVE BIDDERS</t>
  </si>
  <si>
    <t xml:space="preserve"> PLEASE SEE ASSOCIATED COMPONENTS FOR THE COMPLETE SET OF BIDDING DOCUMENTS</t>
  </si>
  <si>
    <t xml:space="preserve"> SEE ATTACHED RFQ</t>
  </si>
  <si>
    <t xml:space="preserve"> https://drive.google.com/file/d/1Vz_HJeoEO1YGkSj8pFweYLC0C0uvSTWx/view?usp=drivesdk</t>
  </si>
  <si>
    <t xml:space="preserve"> For Information only.</t>
  </si>
  <si>
    <t xml:space="preserve"> The deadline of Submission and opening of the RFQ are as follows:	</t>
  </si>
  <si>
    <t xml:space="preserve"> Civil Service Commission																			</t>
  </si>
  <si>
    <t xml:space="preserve"> https://drive.google.com/file/d/1BwSSTulHH8CGtc_u-6hnBtCgqD7LU8DD/view?usp=drivesdk</t>
  </si>
  <si>
    <t xml:space="preserve"> Bidders must download the attached document in the associated component section and can also be downloaded at www.ilocossur.gov.ph.</t>
  </si>
  <si>
    <t xml:space="preserve"> https://drive.google.com/file/d/1kD1qcnx3Y11vUw3kgem6YBq60-OAC-WI/view?usp=drivesdk</t>
  </si>
  <si>
    <t xml:space="preserve"> For more details please coordinate or contact the Local BAC Secretariat at SSS Bacolod East Branch, East One Atrium Bldg., Burgos Ext., Brgy. Villamonte, Bacolod City, at Tel. No. (034) 441-6599 or at Visayas West 1 Division at Tel. Nos. (034) 709-0880/709-0413-17 at local 208 and 210 and SSS Bacolod Branch at Tel Nos. (034)709-0880 local 309.</t>
  </si>
  <si>
    <t xml:space="preserve"> https://drive.google.com/file/d/1e6DXb35HM97E8BhE3hIbHZg7T1qnxfbe/view?usp=drivesdk</t>
  </si>
  <si>
    <t xml:space="preserve"> FOR COMPLETE LIST OF ITEMS PLEASE SEE ATTACHED REQUEST FOR QUOTATION</t>
  </si>
  <si>
    <t xml:space="preserve"> https://drive.google.com/file/d/1Eshayw-H_ZqKbRO51sSXDoL2dQpgEnXV/view?usp=drivesdk</t>
  </si>
  <si>
    <t xml:space="preserve"> BID DOCUMENTS IS AVAILABLE ONLY TO PROSPECTIVE BIDDER UPON PAYMENT OF NON-REFUNDABLE FEE IN THE AMOUNT OF 5,000.00 TO THE MUNICIPAL TREASURY OFFICE. BIDDING DOCUMENTS WILL STILL BE AVAILABLE BEFORE THE OPENING OF BIDS.</t>
  </si>
  <si>
    <t xml:space="preserve"> Visit BAC Office and Bring the following requirements when acquiring prescribe Quotation Form and other inquiries:</t>
  </si>
  <si>
    <t xml:space="preserve"> https://drive.google.com/file/d/1limVw56CJW-SjxeZuTAglyM7gvmC29Uf/view?usp=drivesdk</t>
  </si>
  <si>
    <t xml:space="preserve"> Please see attached at Associated Components</t>
  </si>
  <si>
    <t xml:space="preserve"> Barangay Apalit Floridablanca Pampanga</t>
  </si>
  <si>
    <t xml:space="preserve"> Scope of Work:</t>
  </si>
  <si>
    <t xml:space="preserve"> For more details please coordinate or contact the Local BAC Secretariat at SSS Bacolod East Branch, East One Atrium Bldg., Burgos Ext., Brgy. Villamonte, Bacolod City, at Tel. No. (034) 441-6599 or at Visayas West 1 Division at Tel. Nos. (034) 709-0880/709-0413-17 at local 208 and 210 and Administrative Section , SSS Sagay Branch at Tel Nos. (034) 722-1869</t>
  </si>
  <si>
    <t xml:space="preserve"> Submit your quotation together with your philgeps certification</t>
  </si>
  <si>
    <t xml:space="preserve"> OPENING OF PRICE QUOTATION ON JULY 3, 2020 2:00 PM AT  DENR-PENR OFFICE, SAN VICTORIES ST. BRGY 9, MALAYBALAY CITY</t>
  </si>
  <si>
    <t>Roland Dayuno Morales</t>
  </si>
  <si>
    <t>Marife Aglosolos</t>
  </si>
  <si>
    <t>RANDELYN MAGLASANG BISQUERA</t>
  </si>
  <si>
    <t>Dionesia B. Lagas</t>
  </si>
  <si>
    <t>Ronelio N Hernandez</t>
  </si>
  <si>
    <t>Harold C. Duremdes</t>
  </si>
  <si>
    <t>Riza Joy Barnizo Pele-in</t>
  </si>
  <si>
    <t>DELIZA M CUTARA</t>
  </si>
  <si>
    <t>SUSAN REYES</t>
  </si>
  <si>
    <t>ELIZABETH S. FERNANDEZ</t>
  </si>
  <si>
    <t>Roch Jerome L Capistrano</t>
  </si>
  <si>
    <t>Mary Grace L. Romero</t>
  </si>
  <si>
    <t>Marilou Seno Villanueva</t>
  </si>
  <si>
    <t>RANDY R MALIWAT</t>
  </si>
  <si>
    <t>07/03/2018</t>
  </si>
  <si>
    <t>22/03/2020</t>
  </si>
  <si>
    <t>06/03/2020</t>
  </si>
  <si>
    <t>12/06/2020</t>
  </si>
  <si>
    <t>04/01/2019</t>
  </si>
  <si>
    <t>23/06/2020</t>
  </si>
  <si>
    <t>16/06/2020</t>
  </si>
  <si>
    <t>15/06/2020</t>
  </si>
  <si>
    <t>06/02/2020</t>
  </si>
  <si>
    <t>30/05/2020</t>
  </si>
  <si>
    <t>11/06/2020</t>
  </si>
  <si>
    <t>17/06/2020</t>
  </si>
  <si>
    <t>18/06/2020</t>
  </si>
  <si>
    <t>19/06/2020</t>
  </si>
  <si>
    <t>21/06/2020</t>
  </si>
  <si>
    <t>20/06/2020</t>
  </si>
  <si>
    <t>22/06/2020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</si>
</sst>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X675"/>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f>HYPERLINK("https://www.philgeps.gov.ph/GEPSNONPILOT/Tender/SplashBidNoticeAbstractUI.aspx?menuIndex=3&amp;refID=5211368&amp;Result=3","5211368")</f>
        <v>0</v>
      </c>
      <c r="B2" t="s">
        <v>24</v>
      </c>
      <c r="C2" t="s">
        <v>333</v>
      </c>
      <c r="D2" t="s">
        <v>993</v>
      </c>
      <c r="E2" t="s">
        <v>1062</v>
      </c>
      <c r="F2" t="s">
        <v>1712</v>
      </c>
      <c r="G2" t="s">
        <v>1716</v>
      </c>
      <c r="H2" t="s">
        <v>1722</v>
      </c>
      <c r="I2" t="s">
        <v>1726</v>
      </c>
      <c r="J2" t="s">
        <v>1805</v>
      </c>
      <c r="K2" t="s">
        <v>2358</v>
      </c>
      <c r="M2" t="s">
        <v>2413</v>
      </c>
      <c r="N2" t="s">
        <v>2727</v>
      </c>
      <c r="O2" t="s">
        <v>2728</v>
      </c>
      <c r="P2">
        <v>0</v>
      </c>
      <c r="Q2">
        <v>2</v>
      </c>
      <c r="R2" t="s">
        <v>2729</v>
      </c>
      <c r="S2" t="s">
        <v>2731</v>
      </c>
      <c r="T2" t="s">
        <v>2733</v>
      </c>
      <c r="U2" t="s">
        <v>2855</v>
      </c>
      <c r="W2" t="s">
        <v>2413</v>
      </c>
      <c r="X2" t="s">
        <v>3589</v>
      </c>
    </row>
    <row r="3" spans="1:24">
      <c r="A3">
        <f>HYPERLINK("https://www.philgeps.gov.ph/GEPSNONPILOT/Tender/SplashBidNoticeAbstractUI.aspx?menuIndex=3&amp;refID=6949748&amp;Result=3","6949748")</f>
        <v>0</v>
      </c>
      <c r="B3" t="s">
        <v>25</v>
      </c>
      <c r="C3" t="s">
        <v>334</v>
      </c>
      <c r="D3" t="s">
        <v>994</v>
      </c>
      <c r="E3" t="s">
        <v>1063</v>
      </c>
      <c r="F3" t="s">
        <v>1712</v>
      </c>
      <c r="G3" t="s">
        <v>1716</v>
      </c>
      <c r="H3" t="s">
        <v>1722</v>
      </c>
      <c r="I3" t="s">
        <v>1727</v>
      </c>
      <c r="J3" t="s">
        <v>1806</v>
      </c>
      <c r="K3" t="s">
        <v>2359</v>
      </c>
      <c r="M3" t="s">
        <v>2414</v>
      </c>
      <c r="N3" t="s">
        <v>2727</v>
      </c>
      <c r="O3" t="s">
        <v>2728</v>
      </c>
      <c r="P3">
        <v>0</v>
      </c>
      <c r="Q3">
        <v>0</v>
      </c>
      <c r="R3" t="s">
        <v>2729</v>
      </c>
      <c r="S3" t="s">
        <v>2731</v>
      </c>
      <c r="T3" t="s">
        <v>2734</v>
      </c>
      <c r="U3" t="s">
        <v>2856</v>
      </c>
      <c r="W3" t="s">
        <v>2414</v>
      </c>
      <c r="X3" t="s">
        <v>3590</v>
      </c>
    </row>
    <row r="4" spans="1:24">
      <c r="A4">
        <f>HYPERLINK("https://www.philgeps.gov.ph/GEPSNONPILOT/Tender/SplashBidNoticeAbstractUI.aspx?menuIndex=3&amp;refID=6949730&amp;Result=3","6949730")</f>
        <v>0</v>
      </c>
      <c r="B4" t="s">
        <v>25</v>
      </c>
      <c r="C4" t="s">
        <v>335</v>
      </c>
      <c r="E4" t="s">
        <v>1064</v>
      </c>
      <c r="F4" t="s">
        <v>1712</v>
      </c>
      <c r="G4" t="s">
        <v>1716</v>
      </c>
      <c r="H4" t="s">
        <v>1722</v>
      </c>
      <c r="I4" t="s">
        <v>1728</v>
      </c>
      <c r="J4" t="s">
        <v>1807</v>
      </c>
      <c r="K4" t="s">
        <v>2360</v>
      </c>
      <c r="M4" t="s">
        <v>2414</v>
      </c>
      <c r="N4" t="s">
        <v>2727</v>
      </c>
      <c r="O4" t="s">
        <v>2728</v>
      </c>
      <c r="P4">
        <v>0</v>
      </c>
      <c r="Q4">
        <v>0</v>
      </c>
      <c r="R4" t="s">
        <v>2729</v>
      </c>
      <c r="S4" t="s">
        <v>2731</v>
      </c>
      <c r="T4" t="s">
        <v>2735</v>
      </c>
      <c r="U4" t="s">
        <v>2857</v>
      </c>
      <c r="W4" t="s">
        <v>2414</v>
      </c>
      <c r="X4" t="s">
        <v>3590</v>
      </c>
    </row>
    <row r="5" spans="1:24">
      <c r="A5">
        <f>HYPERLINK("https://www.philgeps.gov.ph/GEPSNONPILOT/Tender/SplashBidNoticeAbstractUI.aspx?menuIndex=3&amp;refID=6920277&amp;Result=3","6920277")</f>
        <v>0</v>
      </c>
      <c r="B5" t="s">
        <v>26</v>
      </c>
      <c r="C5" t="s">
        <v>336</v>
      </c>
      <c r="D5" t="s">
        <v>995</v>
      </c>
      <c r="E5" t="s">
        <v>1065</v>
      </c>
      <c r="F5" t="s">
        <v>1712</v>
      </c>
      <c r="G5" t="s">
        <v>1716</v>
      </c>
      <c r="H5" t="s">
        <v>1723</v>
      </c>
      <c r="I5" t="s">
        <v>1729</v>
      </c>
      <c r="J5" t="s">
        <v>1808</v>
      </c>
      <c r="K5" t="s">
        <v>2361</v>
      </c>
      <c r="L5" t="s">
        <v>26</v>
      </c>
      <c r="M5" t="s">
        <v>2415</v>
      </c>
      <c r="N5" t="s">
        <v>2727</v>
      </c>
      <c r="O5" t="s">
        <v>2728</v>
      </c>
      <c r="P5">
        <v>0</v>
      </c>
      <c r="Q5">
        <v>1</v>
      </c>
      <c r="R5" t="s">
        <v>2729</v>
      </c>
      <c r="S5" t="s">
        <v>2731</v>
      </c>
      <c r="T5" t="s">
        <v>2736</v>
      </c>
      <c r="U5" t="s">
        <v>2858</v>
      </c>
      <c r="V5" t="s">
        <v>3469</v>
      </c>
      <c r="W5" t="s">
        <v>2415</v>
      </c>
      <c r="X5" t="s">
        <v>3591</v>
      </c>
    </row>
    <row r="6" spans="1:24">
      <c r="A6">
        <f>HYPERLINK("https://www.philgeps.gov.ph/GEPSNONPILOT/Tender/SplashBidNoticeAbstractUI.aspx?menuIndex=3&amp;refID=7043599&amp;Result=3","7043599")</f>
        <v>0</v>
      </c>
      <c r="B6" t="s">
        <v>27</v>
      </c>
      <c r="C6" t="s">
        <v>337</v>
      </c>
      <c r="D6" t="s">
        <v>996</v>
      </c>
      <c r="E6" t="s">
        <v>1066</v>
      </c>
      <c r="F6" t="s">
        <v>1712</v>
      </c>
      <c r="G6" t="s">
        <v>1716</v>
      </c>
      <c r="H6" t="s">
        <v>1723</v>
      </c>
      <c r="I6" t="s">
        <v>1729</v>
      </c>
      <c r="J6" t="s">
        <v>1808</v>
      </c>
      <c r="K6" t="s">
        <v>2362</v>
      </c>
      <c r="M6" t="s">
        <v>2416</v>
      </c>
      <c r="N6" t="s">
        <v>2727</v>
      </c>
      <c r="O6" t="s">
        <v>2728</v>
      </c>
      <c r="P6">
        <v>0</v>
      </c>
      <c r="Q6">
        <v>0</v>
      </c>
      <c r="R6" t="s">
        <v>2729</v>
      </c>
      <c r="S6" t="s">
        <v>2731</v>
      </c>
      <c r="T6" t="s">
        <v>2737</v>
      </c>
      <c r="U6" t="s">
        <v>2859</v>
      </c>
      <c r="W6" t="s">
        <v>2416</v>
      </c>
      <c r="X6" t="s">
        <v>3592</v>
      </c>
    </row>
    <row r="7" spans="1:24">
      <c r="A7">
        <f>HYPERLINK("https://www.philgeps.gov.ph/GEPSNONPILOT/Tender/SplashBidNoticeAbstractUI.aspx?menuIndex=3&amp;refID=5942824&amp;Result=3","5942824")</f>
        <v>0</v>
      </c>
      <c r="B7" t="s">
        <v>28</v>
      </c>
      <c r="C7" t="s">
        <v>338</v>
      </c>
      <c r="D7" t="s">
        <v>997</v>
      </c>
      <c r="E7" t="s">
        <v>1067</v>
      </c>
      <c r="F7" t="s">
        <v>1712</v>
      </c>
      <c r="G7" t="s">
        <v>1716</v>
      </c>
      <c r="H7" t="s">
        <v>1723</v>
      </c>
      <c r="I7" t="s">
        <v>1729</v>
      </c>
      <c r="J7" t="s">
        <v>1809</v>
      </c>
      <c r="K7" t="s">
        <v>2363</v>
      </c>
      <c r="M7" t="s">
        <v>2417</v>
      </c>
      <c r="N7" t="s">
        <v>2727</v>
      </c>
      <c r="O7" t="s">
        <v>2728</v>
      </c>
      <c r="P7">
        <v>0</v>
      </c>
      <c r="Q7">
        <v>0</v>
      </c>
      <c r="R7" t="s">
        <v>2729</v>
      </c>
      <c r="S7" t="s">
        <v>2731</v>
      </c>
      <c r="T7" t="s">
        <v>2738</v>
      </c>
      <c r="U7" t="s">
        <v>2860</v>
      </c>
      <c r="W7" t="s">
        <v>2417</v>
      </c>
      <c r="X7" t="s">
        <v>3593</v>
      </c>
    </row>
    <row r="8" spans="1:24">
      <c r="A8">
        <f>HYPERLINK("https://www.philgeps.gov.ph/GEPSNONPILOT/Tender/SplashBidNoticeAbstractUI.aspx?menuIndex=3&amp;refID=7035863-2&amp;Result=3","7035863-2")</f>
        <v>0</v>
      </c>
      <c r="B8" t="s">
        <v>29</v>
      </c>
      <c r="C8" t="s">
        <v>339</v>
      </c>
      <c r="D8" t="s">
        <v>998</v>
      </c>
      <c r="E8" t="s">
        <v>1068</v>
      </c>
      <c r="F8" t="s">
        <v>1712</v>
      </c>
      <c r="G8" t="s">
        <v>1716</v>
      </c>
      <c r="H8" t="s">
        <v>1724</v>
      </c>
      <c r="I8" t="s">
        <v>1724</v>
      </c>
      <c r="J8" t="s">
        <v>1810</v>
      </c>
      <c r="K8" t="s">
        <v>2364</v>
      </c>
      <c r="L8" t="s">
        <v>2412</v>
      </c>
      <c r="M8" t="s">
        <v>2418</v>
      </c>
      <c r="N8" t="s">
        <v>2727</v>
      </c>
      <c r="O8" t="s">
        <v>2728</v>
      </c>
      <c r="P8">
        <v>0</v>
      </c>
      <c r="Q8">
        <v>0</v>
      </c>
      <c r="R8" t="s">
        <v>2729</v>
      </c>
      <c r="S8" t="s">
        <v>2731</v>
      </c>
      <c r="T8" t="s">
        <v>2739</v>
      </c>
      <c r="U8" t="s">
        <v>2861</v>
      </c>
      <c r="W8" t="s">
        <v>2418</v>
      </c>
      <c r="X8" t="s">
        <v>3594</v>
      </c>
    </row>
    <row r="9" spans="1:24">
      <c r="A9">
        <f>HYPERLINK("https://www.philgeps.gov.ph/GEPSNONPILOT/Tender/SplashBidNoticeAbstractUI.aspx?menuIndex=3&amp;refID=7043678&amp;Result=3","7043678")</f>
        <v>0</v>
      </c>
      <c r="B9" t="s">
        <v>27</v>
      </c>
      <c r="C9" t="s">
        <v>340</v>
      </c>
      <c r="D9" t="s">
        <v>996</v>
      </c>
      <c r="E9" t="s">
        <v>1069</v>
      </c>
      <c r="F9" t="s">
        <v>1712</v>
      </c>
      <c r="G9" t="s">
        <v>1716</v>
      </c>
      <c r="H9" t="s">
        <v>1723</v>
      </c>
      <c r="I9" t="s">
        <v>1729</v>
      </c>
      <c r="J9" t="s">
        <v>1811</v>
      </c>
      <c r="K9" t="s">
        <v>2365</v>
      </c>
      <c r="M9" t="s">
        <v>2416</v>
      </c>
      <c r="N9" t="s">
        <v>2727</v>
      </c>
      <c r="O9" t="s">
        <v>2728</v>
      </c>
      <c r="P9">
        <v>0</v>
      </c>
      <c r="Q9">
        <v>0</v>
      </c>
      <c r="R9" t="s">
        <v>2729</v>
      </c>
      <c r="S9" t="s">
        <v>2731</v>
      </c>
      <c r="T9" t="s">
        <v>2737</v>
      </c>
      <c r="U9" t="s">
        <v>2862</v>
      </c>
      <c r="W9" t="s">
        <v>2416</v>
      </c>
      <c r="X9" t="s">
        <v>3592</v>
      </c>
    </row>
    <row r="10" spans="1:24">
      <c r="A10">
        <f>HYPERLINK("https://www.philgeps.gov.ph/GEPSNONPILOT/Tender/SplashBidNoticeAbstractUI.aspx?menuIndex=3&amp;refID=7047893&amp;Result=3","7047893")</f>
        <v>0</v>
      </c>
      <c r="B10" t="s">
        <v>30</v>
      </c>
      <c r="C10" t="s">
        <v>341</v>
      </c>
      <c r="D10" t="s">
        <v>999</v>
      </c>
      <c r="E10" t="s">
        <v>1070</v>
      </c>
      <c r="F10" t="s">
        <v>1712</v>
      </c>
      <c r="G10" t="s">
        <v>1716</v>
      </c>
      <c r="H10" t="s">
        <v>1723</v>
      </c>
      <c r="I10" t="s">
        <v>1729</v>
      </c>
      <c r="J10" t="s">
        <v>1812</v>
      </c>
      <c r="K10" t="s">
        <v>2366</v>
      </c>
      <c r="M10" t="s">
        <v>2419</v>
      </c>
      <c r="N10" t="s">
        <v>2727</v>
      </c>
      <c r="O10" t="s">
        <v>2728</v>
      </c>
      <c r="P10">
        <v>0</v>
      </c>
      <c r="Q10">
        <v>0</v>
      </c>
      <c r="R10" t="s">
        <v>2729</v>
      </c>
      <c r="S10" t="s">
        <v>2731</v>
      </c>
      <c r="T10" t="s">
        <v>2740</v>
      </c>
      <c r="U10" t="s">
        <v>2863</v>
      </c>
      <c r="W10" t="s">
        <v>2419</v>
      </c>
      <c r="X10" t="s">
        <v>3595</v>
      </c>
    </row>
    <row r="11" spans="1:24">
      <c r="A11">
        <f>HYPERLINK("https://www.philgeps.gov.ph/GEPSNONPILOT/Tender/SplashBidNoticeAbstractUI.aspx?menuIndex=3&amp;refID=7043608&amp;Result=3","7043608")</f>
        <v>0</v>
      </c>
      <c r="B11" t="s">
        <v>27</v>
      </c>
      <c r="C11" t="s">
        <v>342</v>
      </c>
      <c r="D11" t="s">
        <v>996</v>
      </c>
      <c r="E11" t="s">
        <v>1071</v>
      </c>
      <c r="F11" t="s">
        <v>1712</v>
      </c>
      <c r="G11" t="s">
        <v>1716</v>
      </c>
      <c r="H11" t="s">
        <v>1723</v>
      </c>
      <c r="I11" t="s">
        <v>1729</v>
      </c>
      <c r="J11" t="s">
        <v>1808</v>
      </c>
      <c r="K11" t="s">
        <v>2362</v>
      </c>
      <c r="M11" t="s">
        <v>2416</v>
      </c>
      <c r="N11" t="s">
        <v>2727</v>
      </c>
      <c r="O11" t="s">
        <v>2728</v>
      </c>
      <c r="P11">
        <v>0</v>
      </c>
      <c r="Q11">
        <v>0</v>
      </c>
      <c r="R11" t="s">
        <v>2729</v>
      </c>
      <c r="S11" t="s">
        <v>2731</v>
      </c>
      <c r="T11" t="s">
        <v>2737</v>
      </c>
      <c r="U11" t="s">
        <v>2864</v>
      </c>
      <c r="W11" t="s">
        <v>2416</v>
      </c>
      <c r="X11" t="s">
        <v>3592</v>
      </c>
    </row>
    <row r="12" spans="1:24">
      <c r="A12">
        <f>HYPERLINK("https://www.philgeps.gov.ph/GEPSNONPILOT/Tender/SplashBidNoticeAbstractUI.aspx?menuIndex=3&amp;refID=7046988&amp;Result=3","7046988")</f>
        <v>0</v>
      </c>
      <c r="B12" t="s">
        <v>31</v>
      </c>
      <c r="C12" t="s">
        <v>343</v>
      </c>
      <c r="D12" t="s">
        <v>1000</v>
      </c>
      <c r="E12" t="s">
        <v>1072</v>
      </c>
      <c r="F12" t="s">
        <v>1712</v>
      </c>
      <c r="G12" t="s">
        <v>1716</v>
      </c>
      <c r="H12" t="s">
        <v>1722</v>
      </c>
      <c r="I12" t="s">
        <v>1730</v>
      </c>
      <c r="J12" t="s">
        <v>1813</v>
      </c>
      <c r="K12" t="s">
        <v>2367</v>
      </c>
      <c r="M12" t="s">
        <v>2420</v>
      </c>
      <c r="N12" t="s">
        <v>2727</v>
      </c>
      <c r="O12" t="s">
        <v>2728</v>
      </c>
      <c r="P12">
        <v>0</v>
      </c>
      <c r="Q12">
        <v>0</v>
      </c>
      <c r="R12" t="s">
        <v>2729</v>
      </c>
      <c r="S12" t="s">
        <v>2731</v>
      </c>
      <c r="T12" t="s">
        <v>2741</v>
      </c>
      <c r="U12" t="s">
        <v>2865</v>
      </c>
      <c r="W12" t="s">
        <v>2420</v>
      </c>
      <c r="X12" t="s">
        <v>3596</v>
      </c>
    </row>
    <row r="13" spans="1:24">
      <c r="A13">
        <f>HYPERLINK("https://www.philgeps.gov.ph/GEPSNONPILOT/Tender/SplashBidNoticeAbstractUI.aspx?menuIndex=3&amp;refID=7045683&amp;Result=3","7045683")</f>
        <v>0</v>
      </c>
      <c r="B13" t="s">
        <v>32</v>
      </c>
      <c r="C13" t="s">
        <v>344</v>
      </c>
      <c r="E13" t="s">
        <v>1073</v>
      </c>
      <c r="F13" t="s">
        <v>1712</v>
      </c>
      <c r="G13" t="s">
        <v>1716</v>
      </c>
      <c r="H13" t="s">
        <v>1723</v>
      </c>
      <c r="I13" t="s">
        <v>1729</v>
      </c>
      <c r="J13" t="s">
        <v>1814</v>
      </c>
      <c r="K13" t="s">
        <v>2359</v>
      </c>
      <c r="M13" t="s">
        <v>2421</v>
      </c>
      <c r="N13" t="s">
        <v>2727</v>
      </c>
      <c r="O13" t="s">
        <v>2728</v>
      </c>
      <c r="P13">
        <v>0</v>
      </c>
      <c r="Q13">
        <v>0</v>
      </c>
      <c r="R13" t="s">
        <v>2729</v>
      </c>
      <c r="S13" t="s">
        <v>2731</v>
      </c>
      <c r="T13" t="s">
        <v>2742</v>
      </c>
      <c r="U13" t="s">
        <v>2866</v>
      </c>
      <c r="W13" t="s">
        <v>2421</v>
      </c>
      <c r="X13" t="s">
        <v>3596</v>
      </c>
    </row>
    <row r="14" spans="1:24">
      <c r="A14">
        <f>HYPERLINK("https://www.philgeps.gov.ph/GEPSNONPILOT/Tender/SplashBidNoticeAbstractUI.aspx?menuIndex=3&amp;refID=7045648&amp;Result=3","7045648")</f>
        <v>0</v>
      </c>
      <c r="B14" t="s">
        <v>32</v>
      </c>
      <c r="C14" t="s">
        <v>344</v>
      </c>
      <c r="E14" t="s">
        <v>1074</v>
      </c>
      <c r="F14" t="s">
        <v>1712</v>
      </c>
      <c r="G14" t="s">
        <v>1716</v>
      </c>
      <c r="H14" t="s">
        <v>1723</v>
      </c>
      <c r="I14" t="s">
        <v>1729</v>
      </c>
      <c r="J14" t="s">
        <v>1815</v>
      </c>
      <c r="K14" t="s">
        <v>2368</v>
      </c>
      <c r="M14" t="s">
        <v>2421</v>
      </c>
      <c r="N14" t="s">
        <v>2727</v>
      </c>
      <c r="O14" t="s">
        <v>2728</v>
      </c>
      <c r="P14">
        <v>0</v>
      </c>
      <c r="Q14">
        <v>0</v>
      </c>
      <c r="R14" t="s">
        <v>2729</v>
      </c>
      <c r="S14" t="s">
        <v>2731</v>
      </c>
      <c r="T14" t="s">
        <v>2742</v>
      </c>
      <c r="U14" t="s">
        <v>2867</v>
      </c>
      <c r="W14" t="s">
        <v>2421</v>
      </c>
      <c r="X14" t="s">
        <v>3596</v>
      </c>
    </row>
    <row r="15" spans="1:24">
      <c r="A15">
        <f>HYPERLINK("https://www.philgeps.gov.ph/GEPSNONPILOT/Tender/SplashBidNoticeAbstractUI.aspx?menuIndex=3&amp;refID=7043674&amp;Result=3","7043674")</f>
        <v>0</v>
      </c>
      <c r="B15" t="s">
        <v>27</v>
      </c>
      <c r="C15" t="s">
        <v>345</v>
      </c>
      <c r="D15" t="s">
        <v>996</v>
      </c>
      <c r="E15" t="s">
        <v>1075</v>
      </c>
      <c r="F15" t="s">
        <v>1712</v>
      </c>
      <c r="G15" t="s">
        <v>1716</v>
      </c>
      <c r="H15" t="s">
        <v>1723</v>
      </c>
      <c r="I15" t="s">
        <v>1729</v>
      </c>
      <c r="J15" t="s">
        <v>1816</v>
      </c>
      <c r="K15" t="s">
        <v>2365</v>
      </c>
      <c r="M15" t="s">
        <v>2416</v>
      </c>
      <c r="N15" t="s">
        <v>2727</v>
      </c>
      <c r="O15" t="s">
        <v>2728</v>
      </c>
      <c r="P15">
        <v>0</v>
      </c>
      <c r="Q15">
        <v>0</v>
      </c>
      <c r="R15" t="s">
        <v>2729</v>
      </c>
      <c r="S15" t="s">
        <v>2731</v>
      </c>
      <c r="T15" t="s">
        <v>2743</v>
      </c>
      <c r="U15" t="s">
        <v>2868</v>
      </c>
      <c r="W15" t="s">
        <v>2416</v>
      </c>
      <c r="X15" t="s">
        <v>3592</v>
      </c>
    </row>
    <row r="16" spans="1:24">
      <c r="A16">
        <f>HYPERLINK("https://www.philgeps.gov.ph/GEPSNONPILOT/Tender/SplashBidNoticeAbstractUI.aspx?menuIndex=3&amp;refID=7045733&amp;Result=3","7045733")</f>
        <v>0</v>
      </c>
      <c r="B16" t="s">
        <v>33</v>
      </c>
      <c r="C16" t="s">
        <v>344</v>
      </c>
      <c r="E16" t="s">
        <v>1076</v>
      </c>
      <c r="F16" t="s">
        <v>1712</v>
      </c>
      <c r="G16" t="s">
        <v>1716</v>
      </c>
      <c r="H16" t="s">
        <v>1723</v>
      </c>
      <c r="I16" t="s">
        <v>1729</v>
      </c>
      <c r="J16" t="s">
        <v>1817</v>
      </c>
      <c r="K16" t="s">
        <v>2359</v>
      </c>
      <c r="M16" t="s">
        <v>2422</v>
      </c>
      <c r="N16" t="s">
        <v>2727</v>
      </c>
      <c r="O16" t="s">
        <v>2728</v>
      </c>
      <c r="P16">
        <v>0</v>
      </c>
      <c r="Q16">
        <v>0</v>
      </c>
      <c r="R16" t="s">
        <v>2729</v>
      </c>
      <c r="S16" t="s">
        <v>2731</v>
      </c>
      <c r="T16" t="s">
        <v>2742</v>
      </c>
      <c r="U16" t="s">
        <v>2869</v>
      </c>
      <c r="W16" t="s">
        <v>2422</v>
      </c>
      <c r="X16" t="s">
        <v>3596</v>
      </c>
    </row>
    <row r="17" spans="1:24">
      <c r="A17">
        <f>HYPERLINK("https://www.philgeps.gov.ph/GEPSNONPILOT/Tender/SplashBidNoticeAbstractUI.aspx?menuIndex=3&amp;refID=6842744&amp;Result=3","6842744")</f>
        <v>0</v>
      </c>
      <c r="B17" t="s">
        <v>34</v>
      </c>
      <c r="C17" t="s">
        <v>346</v>
      </c>
      <c r="D17" t="s">
        <v>1001</v>
      </c>
      <c r="E17" t="s">
        <v>1077</v>
      </c>
      <c r="F17" t="s">
        <v>1712</v>
      </c>
      <c r="G17" t="s">
        <v>1717</v>
      </c>
      <c r="H17" t="s">
        <v>1722</v>
      </c>
      <c r="I17" t="s">
        <v>1731</v>
      </c>
      <c r="J17" t="s">
        <v>1818</v>
      </c>
      <c r="K17" t="s">
        <v>2367</v>
      </c>
      <c r="M17" t="s">
        <v>2423</v>
      </c>
      <c r="N17" t="s">
        <v>2727</v>
      </c>
      <c r="O17" t="s">
        <v>2728</v>
      </c>
      <c r="P17">
        <v>0</v>
      </c>
      <c r="Q17">
        <v>2</v>
      </c>
      <c r="R17" t="s">
        <v>2729</v>
      </c>
      <c r="S17" t="s">
        <v>2731</v>
      </c>
      <c r="T17" t="s">
        <v>2744</v>
      </c>
      <c r="U17" t="s">
        <v>2870</v>
      </c>
      <c r="W17" t="s">
        <v>2423</v>
      </c>
      <c r="X17" t="s">
        <v>3597</v>
      </c>
    </row>
    <row r="18" spans="1:24">
      <c r="A18">
        <f>HYPERLINK("https://www.philgeps.gov.ph/GEPSNONPILOT/Tender/SplashBidNoticeAbstractUI.aspx?menuIndex=3&amp;refID=7018715&amp;Result=3","7018715")</f>
        <v>0</v>
      </c>
      <c r="B18" t="s">
        <v>35</v>
      </c>
      <c r="C18" t="s">
        <v>347</v>
      </c>
      <c r="D18" t="s">
        <v>1002</v>
      </c>
      <c r="E18" t="s">
        <v>1078</v>
      </c>
      <c r="F18" t="s">
        <v>1712</v>
      </c>
      <c r="G18" t="s">
        <v>1716</v>
      </c>
      <c r="H18" t="s">
        <v>1722</v>
      </c>
      <c r="I18" t="s">
        <v>1729</v>
      </c>
      <c r="J18" t="s">
        <v>1819</v>
      </c>
      <c r="K18" t="s">
        <v>2359</v>
      </c>
      <c r="M18" t="s">
        <v>2424</v>
      </c>
      <c r="N18" t="s">
        <v>2727</v>
      </c>
      <c r="O18" t="s">
        <v>2728</v>
      </c>
      <c r="P18">
        <v>0</v>
      </c>
      <c r="Q18">
        <v>1</v>
      </c>
      <c r="R18" t="s">
        <v>2729</v>
      </c>
      <c r="S18" t="s">
        <v>2731</v>
      </c>
      <c r="T18" t="s">
        <v>2745</v>
      </c>
      <c r="U18" t="s">
        <v>2871</v>
      </c>
      <c r="W18" t="s">
        <v>2424</v>
      </c>
      <c r="X18" t="s">
        <v>3598</v>
      </c>
    </row>
    <row r="19" spans="1:24">
      <c r="A19">
        <f>HYPERLINK("https://www.philgeps.gov.ph/GEPSNONPILOT/Tender/SplashBidNoticeAbstractUI.aspx?menuIndex=3&amp;refID=7043686&amp;Result=3","7043686")</f>
        <v>0</v>
      </c>
      <c r="B19" t="s">
        <v>27</v>
      </c>
      <c r="C19" t="s">
        <v>348</v>
      </c>
      <c r="D19" t="s">
        <v>996</v>
      </c>
      <c r="E19" t="s">
        <v>1079</v>
      </c>
      <c r="F19" t="s">
        <v>1712</v>
      </c>
      <c r="G19" t="s">
        <v>1716</v>
      </c>
      <c r="H19" t="s">
        <v>1722</v>
      </c>
      <c r="I19" t="s">
        <v>1729</v>
      </c>
      <c r="J19" t="s">
        <v>1820</v>
      </c>
      <c r="K19" t="s">
        <v>2365</v>
      </c>
      <c r="M19" t="s">
        <v>2416</v>
      </c>
      <c r="N19" t="s">
        <v>2727</v>
      </c>
      <c r="O19" t="s">
        <v>2728</v>
      </c>
      <c r="P19">
        <v>0</v>
      </c>
      <c r="Q19">
        <v>0</v>
      </c>
      <c r="R19" t="s">
        <v>2729</v>
      </c>
      <c r="S19" t="s">
        <v>2731</v>
      </c>
      <c r="T19" t="s">
        <v>2737</v>
      </c>
      <c r="U19" t="s">
        <v>2872</v>
      </c>
      <c r="W19" t="s">
        <v>2416</v>
      </c>
      <c r="X19" t="s">
        <v>3592</v>
      </c>
    </row>
    <row r="20" spans="1:24">
      <c r="A20">
        <f>HYPERLINK("https://www.philgeps.gov.ph/GEPSNONPILOT/Tender/SplashBidNoticeAbstractUI.aspx?menuIndex=3&amp;refID=7041769&amp;Result=3","7041769")</f>
        <v>0</v>
      </c>
      <c r="B20" t="s">
        <v>36</v>
      </c>
      <c r="C20" t="s">
        <v>349</v>
      </c>
      <c r="D20" t="s">
        <v>1003</v>
      </c>
      <c r="E20" t="s">
        <v>1080</v>
      </c>
      <c r="F20" t="s">
        <v>1712</v>
      </c>
      <c r="G20" t="s">
        <v>1717</v>
      </c>
      <c r="H20" t="s">
        <v>1722</v>
      </c>
      <c r="I20" t="s">
        <v>1732</v>
      </c>
      <c r="J20" t="s">
        <v>1821</v>
      </c>
      <c r="K20" t="s">
        <v>2358</v>
      </c>
      <c r="M20" t="s">
        <v>2425</v>
      </c>
      <c r="N20" t="s">
        <v>2727</v>
      </c>
      <c r="O20" t="s">
        <v>2728</v>
      </c>
      <c r="P20">
        <v>0</v>
      </c>
      <c r="Q20">
        <v>0</v>
      </c>
      <c r="R20" t="s">
        <v>2730</v>
      </c>
      <c r="S20" t="s">
        <v>2732</v>
      </c>
      <c r="T20" t="s">
        <v>2746</v>
      </c>
      <c r="U20" t="s">
        <v>2873</v>
      </c>
      <c r="W20" t="s">
        <v>2425</v>
      </c>
      <c r="X20" t="s">
        <v>3599</v>
      </c>
    </row>
    <row r="21" spans="1:24">
      <c r="A21">
        <f>HYPERLINK("https://www.philgeps.gov.ph/GEPSNONPILOT/Tender/SplashBidNoticeAbstractUI.aspx?menuIndex=3&amp;refID=7041565&amp;Result=3","7041565")</f>
        <v>0</v>
      </c>
      <c r="B21" t="s">
        <v>36</v>
      </c>
      <c r="C21" t="s">
        <v>350</v>
      </c>
      <c r="D21" t="s">
        <v>1003</v>
      </c>
      <c r="E21" t="s">
        <v>1081</v>
      </c>
      <c r="F21" t="s">
        <v>1712</v>
      </c>
      <c r="G21" t="s">
        <v>1717</v>
      </c>
      <c r="H21" t="s">
        <v>1722</v>
      </c>
      <c r="I21" t="s">
        <v>1733</v>
      </c>
      <c r="J21" t="s">
        <v>1822</v>
      </c>
      <c r="K21" t="s">
        <v>2359</v>
      </c>
      <c r="M21" t="s">
        <v>2425</v>
      </c>
      <c r="N21" t="s">
        <v>2727</v>
      </c>
      <c r="O21" t="s">
        <v>2728</v>
      </c>
      <c r="P21">
        <v>0</v>
      </c>
      <c r="Q21">
        <v>0</v>
      </c>
      <c r="R21" t="s">
        <v>2730</v>
      </c>
      <c r="S21" t="s">
        <v>2732</v>
      </c>
      <c r="T21" t="s">
        <v>2746</v>
      </c>
      <c r="U21" t="s">
        <v>2874</v>
      </c>
      <c r="W21" t="s">
        <v>2425</v>
      </c>
      <c r="X21" t="s">
        <v>3599</v>
      </c>
    </row>
    <row r="22" spans="1:24">
      <c r="A22">
        <f>HYPERLINK("https://www.philgeps.gov.ph/GEPSNONPILOT/Tender/SplashBidNoticeAbstractUI.aspx?menuIndex=3&amp;refID=7043663&amp;Result=3","7043663")</f>
        <v>0</v>
      </c>
      <c r="B22" t="s">
        <v>27</v>
      </c>
      <c r="C22" t="s">
        <v>351</v>
      </c>
      <c r="D22" t="s">
        <v>996</v>
      </c>
      <c r="E22" t="s">
        <v>1082</v>
      </c>
      <c r="F22" t="s">
        <v>1712</v>
      </c>
      <c r="G22" t="s">
        <v>1716</v>
      </c>
      <c r="H22" t="s">
        <v>1723</v>
      </c>
      <c r="I22" t="s">
        <v>1729</v>
      </c>
      <c r="J22" t="s">
        <v>1808</v>
      </c>
      <c r="K22" t="s">
        <v>2362</v>
      </c>
      <c r="M22" t="s">
        <v>2416</v>
      </c>
      <c r="N22" t="s">
        <v>2727</v>
      </c>
      <c r="O22" t="s">
        <v>2728</v>
      </c>
      <c r="P22">
        <v>0</v>
      </c>
      <c r="Q22">
        <v>0</v>
      </c>
      <c r="R22" t="s">
        <v>2729</v>
      </c>
      <c r="S22" t="s">
        <v>2731</v>
      </c>
      <c r="T22" t="s">
        <v>2743</v>
      </c>
      <c r="U22" t="s">
        <v>2875</v>
      </c>
      <c r="W22" t="s">
        <v>2416</v>
      </c>
      <c r="X22" t="s">
        <v>3592</v>
      </c>
    </row>
    <row r="23" spans="1:24">
      <c r="A23">
        <f>HYPERLINK("https://www.philgeps.gov.ph/GEPSNONPILOT/Tender/SplashBidNoticeAbstractUI.aspx?menuIndex=3&amp;refID=7043684&amp;Result=3","7043684")</f>
        <v>0</v>
      </c>
      <c r="B23" t="s">
        <v>27</v>
      </c>
      <c r="C23" t="s">
        <v>352</v>
      </c>
      <c r="D23" t="s">
        <v>996</v>
      </c>
      <c r="E23" t="s">
        <v>1083</v>
      </c>
      <c r="F23" t="s">
        <v>1712</v>
      </c>
      <c r="G23" t="s">
        <v>1716</v>
      </c>
      <c r="H23" t="s">
        <v>1724</v>
      </c>
      <c r="I23" t="s">
        <v>1729</v>
      </c>
      <c r="J23" t="s">
        <v>1823</v>
      </c>
      <c r="K23" t="s">
        <v>2365</v>
      </c>
      <c r="M23" t="s">
        <v>2416</v>
      </c>
      <c r="N23" t="s">
        <v>2727</v>
      </c>
      <c r="O23" t="s">
        <v>2728</v>
      </c>
      <c r="P23">
        <v>0</v>
      </c>
      <c r="Q23">
        <v>1</v>
      </c>
      <c r="R23" t="s">
        <v>2729</v>
      </c>
      <c r="S23" t="s">
        <v>2731</v>
      </c>
      <c r="T23" t="s">
        <v>2737</v>
      </c>
      <c r="U23" t="s">
        <v>2876</v>
      </c>
      <c r="W23" t="s">
        <v>2416</v>
      </c>
      <c r="X23" t="s">
        <v>3592</v>
      </c>
    </row>
    <row r="24" spans="1:24">
      <c r="A24">
        <f>HYPERLINK("https://www.philgeps.gov.ph/GEPSNONPILOT/Tender/SplashBidNoticeAbstractUI.aspx?menuIndex=3&amp;refID=7048312&amp;Result=3","7048312")</f>
        <v>0</v>
      </c>
      <c r="B24" t="s">
        <v>37</v>
      </c>
      <c r="C24" t="s">
        <v>344</v>
      </c>
      <c r="D24" t="s">
        <v>994</v>
      </c>
      <c r="E24" t="s">
        <v>1084</v>
      </c>
      <c r="F24" t="s">
        <v>1712</v>
      </c>
      <c r="G24" t="s">
        <v>1716</v>
      </c>
      <c r="H24" t="s">
        <v>1723</v>
      </c>
      <c r="I24" t="s">
        <v>1729</v>
      </c>
      <c r="J24" t="s">
        <v>1824</v>
      </c>
      <c r="K24" t="s">
        <v>2368</v>
      </c>
      <c r="M24" t="s">
        <v>2426</v>
      </c>
      <c r="N24" t="s">
        <v>2727</v>
      </c>
      <c r="O24" t="s">
        <v>2728</v>
      </c>
      <c r="P24">
        <v>0</v>
      </c>
      <c r="Q24">
        <v>0</v>
      </c>
      <c r="R24" t="s">
        <v>2730</v>
      </c>
      <c r="S24" t="s">
        <v>2732</v>
      </c>
      <c r="T24" t="s">
        <v>2747</v>
      </c>
      <c r="U24" t="s">
        <v>2877</v>
      </c>
      <c r="W24" t="s">
        <v>2426</v>
      </c>
      <c r="X24" t="s">
        <v>3595</v>
      </c>
    </row>
    <row r="25" spans="1:24">
      <c r="A25">
        <f>HYPERLINK("https://www.philgeps.gov.ph/GEPSNONPILOT/Tender/SplashBidNoticeAbstractUI.aspx?menuIndex=3&amp;refID=7045490&amp;Result=3","7045490")</f>
        <v>0</v>
      </c>
      <c r="B25" t="s">
        <v>38</v>
      </c>
      <c r="C25" t="s">
        <v>353</v>
      </c>
      <c r="D25" t="s">
        <v>998</v>
      </c>
      <c r="E25" t="s">
        <v>1085</v>
      </c>
      <c r="F25" t="s">
        <v>1712</v>
      </c>
      <c r="G25" t="s">
        <v>1718</v>
      </c>
      <c r="H25" t="s">
        <v>1722</v>
      </c>
      <c r="I25" t="s">
        <v>1734</v>
      </c>
      <c r="J25" t="s">
        <v>1825</v>
      </c>
      <c r="K25" t="s">
        <v>2367</v>
      </c>
      <c r="M25" t="s">
        <v>2427</v>
      </c>
      <c r="N25" t="s">
        <v>2727</v>
      </c>
      <c r="O25" t="s">
        <v>2728</v>
      </c>
      <c r="P25">
        <v>0</v>
      </c>
      <c r="Q25">
        <v>0</v>
      </c>
      <c r="R25" t="s">
        <v>2730</v>
      </c>
      <c r="S25" t="s">
        <v>2732</v>
      </c>
      <c r="T25" t="s">
        <v>2748</v>
      </c>
      <c r="U25" t="s">
        <v>2878</v>
      </c>
      <c r="W25" t="s">
        <v>2427</v>
      </c>
      <c r="X25" t="s">
        <v>3596</v>
      </c>
    </row>
    <row r="26" spans="1:24">
      <c r="A26">
        <f>HYPERLINK("https://www.philgeps.gov.ph/GEPSNONPILOT/Tender/SplashBidNoticeAbstractUI.aspx?menuIndex=3&amp;refID=7047675&amp;Result=3","7047675")</f>
        <v>0</v>
      </c>
      <c r="B26" t="s">
        <v>39</v>
      </c>
      <c r="C26" t="s">
        <v>354</v>
      </c>
      <c r="D26" t="s">
        <v>1004</v>
      </c>
      <c r="E26" t="s">
        <v>1086</v>
      </c>
      <c r="F26" t="s">
        <v>1712</v>
      </c>
      <c r="G26" t="s">
        <v>1717</v>
      </c>
      <c r="H26" t="s">
        <v>1722</v>
      </c>
      <c r="I26" t="s">
        <v>1735</v>
      </c>
      <c r="J26" t="s">
        <v>1826</v>
      </c>
      <c r="K26" t="s">
        <v>2366</v>
      </c>
      <c r="M26" t="s">
        <v>2428</v>
      </c>
      <c r="N26" t="s">
        <v>2727</v>
      </c>
      <c r="O26" t="s">
        <v>2728</v>
      </c>
      <c r="P26">
        <v>0</v>
      </c>
      <c r="Q26">
        <v>0</v>
      </c>
      <c r="R26" t="s">
        <v>2730</v>
      </c>
      <c r="S26" t="s">
        <v>2732</v>
      </c>
      <c r="T26" t="s">
        <v>2749</v>
      </c>
      <c r="U26" t="s">
        <v>2879</v>
      </c>
      <c r="V26" t="s">
        <v>3470</v>
      </c>
      <c r="W26" t="s">
        <v>2428</v>
      </c>
      <c r="X26" t="s">
        <v>3595</v>
      </c>
    </row>
    <row r="27" spans="1:24">
      <c r="A27">
        <f>HYPERLINK("https://www.philgeps.gov.ph/GEPSNONPILOT/Tender/SplashBidNoticeAbstractUI.aspx?menuIndex=3&amp;refID=7046402&amp;Result=3","7046402")</f>
        <v>0</v>
      </c>
      <c r="B27" t="s">
        <v>40</v>
      </c>
      <c r="C27" t="s">
        <v>355</v>
      </c>
      <c r="D27" t="s">
        <v>1005</v>
      </c>
      <c r="E27" t="s">
        <v>1087</v>
      </c>
      <c r="F27" t="s">
        <v>1712</v>
      </c>
      <c r="G27" t="s">
        <v>1717</v>
      </c>
      <c r="H27" t="s">
        <v>1722</v>
      </c>
      <c r="I27" t="s">
        <v>1736</v>
      </c>
      <c r="J27" t="s">
        <v>1827</v>
      </c>
      <c r="K27" t="s">
        <v>2366</v>
      </c>
      <c r="M27" t="s">
        <v>2429</v>
      </c>
      <c r="N27" t="s">
        <v>2727</v>
      </c>
      <c r="O27" t="s">
        <v>2728</v>
      </c>
      <c r="P27">
        <v>0</v>
      </c>
      <c r="Q27">
        <v>0</v>
      </c>
      <c r="R27" t="s">
        <v>2730</v>
      </c>
      <c r="S27" t="s">
        <v>2732</v>
      </c>
      <c r="T27" t="s">
        <v>2737</v>
      </c>
      <c r="U27" t="s">
        <v>2880</v>
      </c>
      <c r="W27" t="s">
        <v>2429</v>
      </c>
      <c r="X27" t="s">
        <v>3596</v>
      </c>
    </row>
    <row r="28" spans="1:24">
      <c r="A28">
        <f>HYPERLINK("https://www.philgeps.gov.ph/GEPSNONPILOT/Tender/SplashBidNoticeAbstractUI.aspx?menuIndex=3&amp;refID=7045232&amp;Result=3","7045232")</f>
        <v>0</v>
      </c>
      <c r="B28" t="s">
        <v>38</v>
      </c>
      <c r="C28" t="s">
        <v>356</v>
      </c>
      <c r="D28" t="s">
        <v>998</v>
      </c>
      <c r="E28" t="s">
        <v>1088</v>
      </c>
      <c r="F28" t="s">
        <v>1712</v>
      </c>
      <c r="G28" t="s">
        <v>1718</v>
      </c>
      <c r="H28" t="s">
        <v>1722</v>
      </c>
      <c r="I28" t="s">
        <v>1737</v>
      </c>
      <c r="J28" t="s">
        <v>1828</v>
      </c>
      <c r="K28" t="s">
        <v>2367</v>
      </c>
      <c r="M28" t="s">
        <v>2427</v>
      </c>
      <c r="N28" t="s">
        <v>2727</v>
      </c>
      <c r="O28" t="s">
        <v>2728</v>
      </c>
      <c r="P28">
        <v>0</v>
      </c>
      <c r="Q28">
        <v>0</v>
      </c>
      <c r="R28" t="s">
        <v>2730</v>
      </c>
      <c r="S28" t="s">
        <v>2732</v>
      </c>
      <c r="T28" t="s">
        <v>2748</v>
      </c>
      <c r="U28" t="s">
        <v>2881</v>
      </c>
      <c r="W28" t="s">
        <v>2427</v>
      </c>
      <c r="X28" t="s">
        <v>3596</v>
      </c>
    </row>
    <row r="29" spans="1:24">
      <c r="A29">
        <f>HYPERLINK("https://www.philgeps.gov.ph/GEPSNONPILOT/Tender/SplashBidNoticeAbstractUI.aspx?menuIndex=3&amp;refID=7047730&amp;Result=3","7047730")</f>
        <v>0</v>
      </c>
      <c r="B29" t="s">
        <v>39</v>
      </c>
      <c r="C29" t="s">
        <v>357</v>
      </c>
      <c r="D29" t="s">
        <v>1004</v>
      </c>
      <c r="E29" t="s">
        <v>1089</v>
      </c>
      <c r="F29" t="s">
        <v>1712</v>
      </c>
      <c r="G29" t="s">
        <v>1717</v>
      </c>
      <c r="H29" t="s">
        <v>1722</v>
      </c>
      <c r="I29" t="s">
        <v>1738</v>
      </c>
      <c r="J29" t="s">
        <v>1829</v>
      </c>
      <c r="K29" t="s">
        <v>2366</v>
      </c>
      <c r="M29" t="s">
        <v>2428</v>
      </c>
      <c r="N29" t="s">
        <v>2727</v>
      </c>
      <c r="O29" t="s">
        <v>2728</v>
      </c>
      <c r="P29">
        <v>0</v>
      </c>
      <c r="Q29">
        <v>0</v>
      </c>
      <c r="R29" t="s">
        <v>2730</v>
      </c>
      <c r="S29" t="s">
        <v>2732</v>
      </c>
      <c r="T29" t="s">
        <v>2749</v>
      </c>
      <c r="U29" t="s">
        <v>2882</v>
      </c>
      <c r="V29" t="s">
        <v>3471</v>
      </c>
      <c r="W29" t="s">
        <v>2428</v>
      </c>
      <c r="X29" t="s">
        <v>3595</v>
      </c>
    </row>
    <row r="30" spans="1:24">
      <c r="A30">
        <f>HYPERLINK("https://www.philgeps.gov.ph/GEPSNONPILOT/Tender/SplashBidNoticeAbstractUI.aspx?menuIndex=3&amp;refID=7045513&amp;Result=3","7045513")</f>
        <v>0</v>
      </c>
      <c r="B30" t="s">
        <v>38</v>
      </c>
      <c r="C30" t="s">
        <v>358</v>
      </c>
      <c r="D30" t="s">
        <v>998</v>
      </c>
      <c r="E30" t="s">
        <v>1090</v>
      </c>
      <c r="F30" t="s">
        <v>1712</v>
      </c>
      <c r="G30" t="s">
        <v>1718</v>
      </c>
      <c r="H30" t="s">
        <v>1722</v>
      </c>
      <c r="I30" t="s">
        <v>1734</v>
      </c>
      <c r="J30" t="s">
        <v>1830</v>
      </c>
      <c r="K30" t="s">
        <v>2367</v>
      </c>
      <c r="M30" t="s">
        <v>2427</v>
      </c>
      <c r="N30" t="s">
        <v>2727</v>
      </c>
      <c r="O30" t="s">
        <v>2728</v>
      </c>
      <c r="P30">
        <v>0</v>
      </c>
      <c r="Q30">
        <v>0</v>
      </c>
      <c r="R30" t="s">
        <v>2730</v>
      </c>
      <c r="S30" t="s">
        <v>2732</v>
      </c>
      <c r="T30" t="s">
        <v>2748</v>
      </c>
      <c r="U30" t="s">
        <v>2883</v>
      </c>
      <c r="W30" t="s">
        <v>2427</v>
      </c>
      <c r="X30" t="s">
        <v>3596</v>
      </c>
    </row>
    <row r="31" spans="1:24">
      <c r="A31">
        <f>HYPERLINK("https://www.philgeps.gov.ph/GEPSNONPILOT/Tender/SplashBidNoticeAbstractUI.aspx?menuIndex=3&amp;refID=7047707&amp;Result=3","7047707")</f>
        <v>0</v>
      </c>
      <c r="B31" t="s">
        <v>39</v>
      </c>
      <c r="C31" t="s">
        <v>359</v>
      </c>
      <c r="D31" t="s">
        <v>1004</v>
      </c>
      <c r="E31" t="s">
        <v>1091</v>
      </c>
      <c r="F31" t="s">
        <v>1712</v>
      </c>
      <c r="G31" t="s">
        <v>1719</v>
      </c>
      <c r="H31" t="s">
        <v>1722</v>
      </c>
      <c r="I31" t="s">
        <v>1732</v>
      </c>
      <c r="J31" t="s">
        <v>1831</v>
      </c>
      <c r="K31" t="s">
        <v>2366</v>
      </c>
      <c r="M31" t="s">
        <v>2428</v>
      </c>
      <c r="N31" t="s">
        <v>2727</v>
      </c>
      <c r="O31" t="s">
        <v>2728</v>
      </c>
      <c r="P31">
        <v>0</v>
      </c>
      <c r="Q31">
        <v>0</v>
      </c>
      <c r="R31" t="s">
        <v>2730</v>
      </c>
      <c r="S31" t="s">
        <v>2732</v>
      </c>
      <c r="T31" t="s">
        <v>2749</v>
      </c>
      <c r="U31" t="s">
        <v>2884</v>
      </c>
      <c r="V31" t="s">
        <v>3470</v>
      </c>
      <c r="W31" t="s">
        <v>2428</v>
      </c>
      <c r="X31" t="s">
        <v>3595</v>
      </c>
    </row>
    <row r="32" spans="1:24">
      <c r="A32">
        <f>HYPERLINK("https://www.philgeps.gov.ph/GEPSNONPILOT/Tender/SplashBidNoticeAbstractUI.aspx?menuIndex=3&amp;refID=7048707&amp;Result=3","7048707")</f>
        <v>0</v>
      </c>
      <c r="B32" t="s">
        <v>41</v>
      </c>
      <c r="C32" t="s">
        <v>360</v>
      </c>
      <c r="D32" t="s">
        <v>1006</v>
      </c>
      <c r="E32" t="s">
        <v>1092</v>
      </c>
      <c r="F32" t="s">
        <v>1712</v>
      </c>
      <c r="G32" t="s">
        <v>1716</v>
      </c>
      <c r="H32" t="s">
        <v>1722</v>
      </c>
      <c r="I32" t="s">
        <v>1726</v>
      </c>
      <c r="J32" t="s">
        <v>1832</v>
      </c>
      <c r="K32" t="s">
        <v>2366</v>
      </c>
      <c r="M32" t="s">
        <v>2430</v>
      </c>
      <c r="N32" t="s">
        <v>2727</v>
      </c>
      <c r="O32" t="s">
        <v>2728</v>
      </c>
      <c r="P32">
        <v>0</v>
      </c>
      <c r="Q32">
        <v>0</v>
      </c>
      <c r="R32" t="s">
        <v>2730</v>
      </c>
      <c r="S32" t="s">
        <v>2732</v>
      </c>
      <c r="T32" t="s">
        <v>2740</v>
      </c>
      <c r="U32" t="s">
        <v>2885</v>
      </c>
      <c r="W32" t="s">
        <v>2430</v>
      </c>
      <c r="X32" t="s">
        <v>3595</v>
      </c>
    </row>
    <row r="33" spans="1:24">
      <c r="A33">
        <f>HYPERLINK("https://www.philgeps.gov.ph/GEPSNONPILOT/Tender/SplashBidNoticeAbstractUI.aspx?menuIndex=3&amp;refID=7045240&amp;Result=3","7045240")</f>
        <v>0</v>
      </c>
      <c r="B33" t="s">
        <v>38</v>
      </c>
      <c r="C33" t="s">
        <v>361</v>
      </c>
      <c r="D33" t="s">
        <v>998</v>
      </c>
      <c r="E33" t="s">
        <v>1093</v>
      </c>
      <c r="F33" t="s">
        <v>1712</v>
      </c>
      <c r="G33" t="s">
        <v>1718</v>
      </c>
      <c r="H33" t="s">
        <v>1722</v>
      </c>
      <c r="I33" t="s">
        <v>1737</v>
      </c>
      <c r="J33" t="s">
        <v>1833</v>
      </c>
      <c r="K33" t="s">
        <v>2367</v>
      </c>
      <c r="M33" t="s">
        <v>2427</v>
      </c>
      <c r="N33" t="s">
        <v>2727</v>
      </c>
      <c r="O33" t="s">
        <v>2728</v>
      </c>
      <c r="P33">
        <v>0</v>
      </c>
      <c r="Q33">
        <v>0</v>
      </c>
      <c r="R33" t="s">
        <v>2730</v>
      </c>
      <c r="S33" t="s">
        <v>2732</v>
      </c>
      <c r="T33" t="s">
        <v>2748</v>
      </c>
      <c r="U33" t="s">
        <v>2886</v>
      </c>
      <c r="W33" t="s">
        <v>2427</v>
      </c>
      <c r="X33" t="s">
        <v>3596</v>
      </c>
    </row>
    <row r="34" spans="1:24">
      <c r="A34">
        <f>HYPERLINK("https://www.philgeps.gov.ph/GEPSNONPILOT/Tender/SplashBidNoticeAbstractUI.aspx?menuIndex=3&amp;refID=7051558&amp;Result=3","7051558")</f>
        <v>0</v>
      </c>
      <c r="B34" t="s">
        <v>39</v>
      </c>
      <c r="C34" t="s">
        <v>362</v>
      </c>
      <c r="D34" t="s">
        <v>1004</v>
      </c>
      <c r="E34" t="s">
        <v>1094</v>
      </c>
      <c r="F34" t="s">
        <v>1712</v>
      </c>
      <c r="G34" t="s">
        <v>1717</v>
      </c>
      <c r="H34" t="s">
        <v>1722</v>
      </c>
      <c r="I34" t="s">
        <v>1739</v>
      </c>
      <c r="J34" t="s">
        <v>1834</v>
      </c>
      <c r="K34" t="s">
        <v>2366</v>
      </c>
      <c r="M34" t="s">
        <v>2428</v>
      </c>
      <c r="N34" t="s">
        <v>2727</v>
      </c>
      <c r="O34" t="s">
        <v>2728</v>
      </c>
      <c r="P34">
        <v>0</v>
      </c>
      <c r="Q34">
        <v>0</v>
      </c>
      <c r="R34" t="s">
        <v>2730</v>
      </c>
      <c r="S34" t="s">
        <v>2732</v>
      </c>
      <c r="T34" t="s">
        <v>2749</v>
      </c>
      <c r="U34" t="s">
        <v>2887</v>
      </c>
      <c r="V34" t="s">
        <v>3472</v>
      </c>
      <c r="W34" t="s">
        <v>2428</v>
      </c>
      <c r="X34" t="s">
        <v>3600</v>
      </c>
    </row>
    <row r="35" spans="1:24">
      <c r="A35">
        <f>HYPERLINK("https://www.philgeps.gov.ph/GEPSNONPILOT/Tender/SplashBidNoticeAbstractUI.aspx?menuIndex=3&amp;refID=7050872&amp;Result=3","7050872")</f>
        <v>0</v>
      </c>
      <c r="B35" t="s">
        <v>42</v>
      </c>
      <c r="C35" t="s">
        <v>363</v>
      </c>
      <c r="D35" t="s">
        <v>1000</v>
      </c>
      <c r="E35" t="s">
        <v>363</v>
      </c>
      <c r="F35" t="s">
        <v>1712</v>
      </c>
      <c r="G35" t="s">
        <v>1716</v>
      </c>
      <c r="H35" t="s">
        <v>1723</v>
      </c>
      <c r="I35" t="s">
        <v>1729</v>
      </c>
      <c r="J35" t="s">
        <v>1835</v>
      </c>
      <c r="K35" t="s">
        <v>2369</v>
      </c>
      <c r="M35" t="s">
        <v>2431</v>
      </c>
      <c r="N35" t="s">
        <v>2727</v>
      </c>
      <c r="O35" t="s">
        <v>2728</v>
      </c>
      <c r="P35">
        <v>0</v>
      </c>
      <c r="Q35">
        <v>0</v>
      </c>
      <c r="R35" t="s">
        <v>2730</v>
      </c>
      <c r="S35" t="s">
        <v>2732</v>
      </c>
      <c r="T35" t="s">
        <v>2739</v>
      </c>
      <c r="U35" t="s">
        <v>2888</v>
      </c>
      <c r="W35" t="s">
        <v>2431</v>
      </c>
      <c r="X35" t="s">
        <v>3600</v>
      </c>
    </row>
    <row r="36" spans="1:24">
      <c r="A36">
        <f>HYPERLINK("https://www.philgeps.gov.ph/GEPSNONPILOT/Tender/SplashBidNoticeAbstractUI.aspx?menuIndex=3&amp;refID=7051525&amp;Result=3","7051525")</f>
        <v>0</v>
      </c>
      <c r="B36" t="s">
        <v>39</v>
      </c>
      <c r="C36" t="s">
        <v>364</v>
      </c>
      <c r="D36" t="s">
        <v>1004</v>
      </c>
      <c r="E36" t="s">
        <v>1095</v>
      </c>
      <c r="F36" t="s">
        <v>1712</v>
      </c>
      <c r="G36" t="s">
        <v>1717</v>
      </c>
      <c r="H36" t="s">
        <v>1722</v>
      </c>
      <c r="I36" t="s">
        <v>1738</v>
      </c>
      <c r="J36" t="s">
        <v>1836</v>
      </c>
      <c r="K36" t="s">
        <v>2366</v>
      </c>
      <c r="M36" t="s">
        <v>2428</v>
      </c>
      <c r="N36" t="s">
        <v>2727</v>
      </c>
      <c r="O36" t="s">
        <v>2728</v>
      </c>
      <c r="P36">
        <v>0</v>
      </c>
      <c r="Q36">
        <v>0</v>
      </c>
      <c r="R36" t="s">
        <v>2730</v>
      </c>
      <c r="S36" t="s">
        <v>2732</v>
      </c>
      <c r="T36" t="s">
        <v>2749</v>
      </c>
      <c r="U36" t="s">
        <v>2889</v>
      </c>
      <c r="V36" t="s">
        <v>3473</v>
      </c>
      <c r="W36" t="s">
        <v>2428</v>
      </c>
      <c r="X36" t="s">
        <v>3600</v>
      </c>
    </row>
    <row r="37" spans="1:24">
      <c r="A37">
        <f>HYPERLINK("https://www.philgeps.gov.ph/GEPSNONPILOT/Tender/SplashBidNoticeAbstractUI.aspx?menuIndex=3&amp;refID=7050342&amp;Result=3","7050342")</f>
        <v>0</v>
      </c>
      <c r="B37" t="s">
        <v>39</v>
      </c>
      <c r="C37" t="s">
        <v>365</v>
      </c>
      <c r="D37" t="s">
        <v>1004</v>
      </c>
      <c r="E37" t="s">
        <v>1096</v>
      </c>
      <c r="F37" t="s">
        <v>1712</v>
      </c>
      <c r="G37" t="s">
        <v>1717</v>
      </c>
      <c r="H37" t="s">
        <v>1722</v>
      </c>
      <c r="I37" t="s">
        <v>1735</v>
      </c>
      <c r="J37" t="s">
        <v>1837</v>
      </c>
      <c r="K37" t="s">
        <v>2366</v>
      </c>
      <c r="M37" t="s">
        <v>2428</v>
      </c>
      <c r="N37" t="s">
        <v>2727</v>
      </c>
      <c r="O37" t="s">
        <v>2728</v>
      </c>
      <c r="P37">
        <v>0</v>
      </c>
      <c r="Q37">
        <v>0</v>
      </c>
      <c r="R37" t="s">
        <v>2730</v>
      </c>
      <c r="S37" t="s">
        <v>2732</v>
      </c>
      <c r="T37" t="s">
        <v>2749</v>
      </c>
      <c r="U37" t="s">
        <v>2890</v>
      </c>
      <c r="V37" t="s">
        <v>3474</v>
      </c>
      <c r="W37" t="s">
        <v>2428</v>
      </c>
      <c r="X37" t="s">
        <v>3600</v>
      </c>
    </row>
    <row r="38" spans="1:24">
      <c r="A38">
        <f>HYPERLINK("https://www.philgeps.gov.ph/GEPSNONPILOT/Tender/SplashBidNoticeAbstractUI.aspx?menuIndex=3&amp;refID=7051474&amp;Result=3","7051474")</f>
        <v>0</v>
      </c>
      <c r="B38" t="s">
        <v>39</v>
      </c>
      <c r="C38" t="s">
        <v>366</v>
      </c>
      <c r="D38" t="s">
        <v>1004</v>
      </c>
      <c r="E38" t="s">
        <v>1097</v>
      </c>
      <c r="F38" t="s">
        <v>1712</v>
      </c>
      <c r="G38" t="s">
        <v>1717</v>
      </c>
      <c r="H38" t="s">
        <v>1722</v>
      </c>
      <c r="I38" t="s">
        <v>1740</v>
      </c>
      <c r="J38" t="s">
        <v>1838</v>
      </c>
      <c r="K38" t="s">
        <v>2366</v>
      </c>
      <c r="M38" t="s">
        <v>2428</v>
      </c>
      <c r="N38" t="s">
        <v>2727</v>
      </c>
      <c r="O38" t="s">
        <v>2728</v>
      </c>
      <c r="P38">
        <v>0</v>
      </c>
      <c r="Q38">
        <v>0</v>
      </c>
      <c r="R38" t="s">
        <v>2730</v>
      </c>
      <c r="S38" t="s">
        <v>2732</v>
      </c>
      <c r="T38" t="s">
        <v>2749</v>
      </c>
      <c r="U38" t="s">
        <v>2891</v>
      </c>
      <c r="V38" t="s">
        <v>3475</v>
      </c>
      <c r="W38" t="s">
        <v>2428</v>
      </c>
      <c r="X38" t="s">
        <v>3600</v>
      </c>
    </row>
    <row r="39" spans="1:24">
      <c r="A39">
        <f>HYPERLINK("https://www.philgeps.gov.ph/GEPSNONPILOT/Tender/SplashBidNoticeAbstractUI.aspx?menuIndex=3&amp;refID=7050387&amp;Result=3","7050387")</f>
        <v>0</v>
      </c>
      <c r="B39" t="s">
        <v>39</v>
      </c>
      <c r="C39" t="s">
        <v>367</v>
      </c>
      <c r="D39" t="s">
        <v>1004</v>
      </c>
      <c r="E39" t="s">
        <v>1098</v>
      </c>
      <c r="F39" t="s">
        <v>1712</v>
      </c>
      <c r="G39" t="s">
        <v>1717</v>
      </c>
      <c r="H39" t="s">
        <v>1722</v>
      </c>
      <c r="I39" t="s">
        <v>1741</v>
      </c>
      <c r="J39" t="s">
        <v>1839</v>
      </c>
      <c r="K39" t="s">
        <v>2366</v>
      </c>
      <c r="M39" t="s">
        <v>2428</v>
      </c>
      <c r="N39" t="s">
        <v>2727</v>
      </c>
      <c r="O39" t="s">
        <v>2728</v>
      </c>
      <c r="P39">
        <v>0</v>
      </c>
      <c r="Q39">
        <v>0</v>
      </c>
      <c r="R39" t="s">
        <v>2730</v>
      </c>
      <c r="S39" t="s">
        <v>2732</v>
      </c>
      <c r="T39" t="s">
        <v>2749</v>
      </c>
      <c r="U39" t="s">
        <v>2892</v>
      </c>
      <c r="V39" t="s">
        <v>3474</v>
      </c>
      <c r="W39" t="s">
        <v>2428</v>
      </c>
      <c r="X39" t="s">
        <v>3600</v>
      </c>
    </row>
    <row r="40" spans="1:24">
      <c r="A40">
        <f>HYPERLINK("https://www.philgeps.gov.ph/GEPSNONPILOT/Tender/SplashBidNoticeAbstractUI.aspx?menuIndex=3&amp;refID=7050299&amp;Result=3","7050299")</f>
        <v>0</v>
      </c>
      <c r="B40" t="s">
        <v>39</v>
      </c>
      <c r="C40" t="s">
        <v>368</v>
      </c>
      <c r="D40" t="s">
        <v>1004</v>
      </c>
      <c r="E40" t="s">
        <v>1099</v>
      </c>
      <c r="F40" t="s">
        <v>1712</v>
      </c>
      <c r="G40" t="s">
        <v>1719</v>
      </c>
      <c r="H40" t="s">
        <v>1722</v>
      </c>
      <c r="I40" t="s">
        <v>1732</v>
      </c>
      <c r="J40" t="s">
        <v>1840</v>
      </c>
      <c r="K40" t="s">
        <v>2366</v>
      </c>
      <c r="M40" t="s">
        <v>2428</v>
      </c>
      <c r="N40" t="s">
        <v>2727</v>
      </c>
      <c r="O40" t="s">
        <v>2728</v>
      </c>
      <c r="P40">
        <v>0</v>
      </c>
      <c r="Q40">
        <v>0</v>
      </c>
      <c r="R40" t="s">
        <v>2730</v>
      </c>
      <c r="S40" t="s">
        <v>2732</v>
      </c>
      <c r="T40" t="s">
        <v>2749</v>
      </c>
      <c r="U40" t="s">
        <v>2893</v>
      </c>
      <c r="V40" t="s">
        <v>3474</v>
      </c>
      <c r="W40" t="s">
        <v>2428</v>
      </c>
      <c r="X40" t="s">
        <v>3600</v>
      </c>
    </row>
    <row r="41" spans="1:24">
      <c r="A41">
        <f>HYPERLINK("https://www.philgeps.gov.ph/GEPSNONPILOT/Tender/SplashBidNoticeAbstractUI.aspx?menuIndex=3&amp;refID=7051544&amp;Result=3","7051544")</f>
        <v>0</v>
      </c>
      <c r="B41" t="s">
        <v>39</v>
      </c>
      <c r="C41" t="s">
        <v>369</v>
      </c>
      <c r="D41" t="s">
        <v>1004</v>
      </c>
      <c r="E41" t="s">
        <v>1100</v>
      </c>
      <c r="F41" t="s">
        <v>1712</v>
      </c>
      <c r="G41" t="s">
        <v>1719</v>
      </c>
      <c r="H41" t="s">
        <v>1722</v>
      </c>
      <c r="I41" t="s">
        <v>1732</v>
      </c>
      <c r="J41" t="s">
        <v>1841</v>
      </c>
      <c r="K41" t="s">
        <v>2366</v>
      </c>
      <c r="M41" t="s">
        <v>2428</v>
      </c>
      <c r="N41" t="s">
        <v>2727</v>
      </c>
      <c r="O41" t="s">
        <v>2728</v>
      </c>
      <c r="P41">
        <v>0</v>
      </c>
      <c r="Q41">
        <v>0</v>
      </c>
      <c r="R41" t="s">
        <v>2730</v>
      </c>
      <c r="S41" t="s">
        <v>2732</v>
      </c>
      <c r="T41" t="s">
        <v>2749</v>
      </c>
      <c r="U41" t="s">
        <v>2894</v>
      </c>
      <c r="V41" t="s">
        <v>3476</v>
      </c>
      <c r="W41" t="s">
        <v>2428</v>
      </c>
      <c r="X41" t="s">
        <v>3600</v>
      </c>
    </row>
    <row r="42" spans="1:24">
      <c r="A42">
        <f>HYPERLINK("https://www.philgeps.gov.ph/GEPSNONPILOT/Tender/SplashBidNoticeAbstractUI.aspx?menuIndex=3&amp;refID=7051605&amp;Result=3","7051605")</f>
        <v>0</v>
      </c>
      <c r="B42" t="s">
        <v>42</v>
      </c>
      <c r="C42" t="s">
        <v>370</v>
      </c>
      <c r="D42" t="s">
        <v>1000</v>
      </c>
      <c r="E42" t="s">
        <v>1101</v>
      </c>
      <c r="F42" t="s">
        <v>1712</v>
      </c>
      <c r="G42" t="s">
        <v>1716</v>
      </c>
      <c r="H42" t="s">
        <v>1722</v>
      </c>
      <c r="I42" t="s">
        <v>1742</v>
      </c>
      <c r="J42" t="s">
        <v>1842</v>
      </c>
      <c r="K42" t="s">
        <v>2370</v>
      </c>
      <c r="M42" t="s">
        <v>2431</v>
      </c>
      <c r="N42" t="s">
        <v>2727</v>
      </c>
      <c r="O42" t="s">
        <v>2728</v>
      </c>
      <c r="P42">
        <v>0</v>
      </c>
      <c r="Q42">
        <v>0</v>
      </c>
      <c r="R42" t="s">
        <v>2730</v>
      </c>
      <c r="S42" t="s">
        <v>2732</v>
      </c>
      <c r="T42" t="s">
        <v>2750</v>
      </c>
      <c r="U42" t="s">
        <v>2895</v>
      </c>
      <c r="V42" t="s">
        <v>3477</v>
      </c>
      <c r="W42" t="s">
        <v>2431</v>
      </c>
      <c r="X42" t="s">
        <v>3600</v>
      </c>
    </row>
    <row r="43" spans="1:24">
      <c r="A43">
        <f>HYPERLINK("https://www.philgeps.gov.ph/GEPSNONPILOT/Tender/SplashBidNoticeAbstractUI.aspx?menuIndex=3&amp;refID=7053135&amp;Result=3","7053135")</f>
        <v>0</v>
      </c>
      <c r="B43" t="s">
        <v>39</v>
      </c>
      <c r="C43" t="s">
        <v>371</v>
      </c>
      <c r="D43" t="s">
        <v>1004</v>
      </c>
      <c r="E43" t="s">
        <v>1102</v>
      </c>
      <c r="F43" t="s">
        <v>1712</v>
      </c>
      <c r="G43" t="s">
        <v>1717</v>
      </c>
      <c r="H43" t="s">
        <v>1722</v>
      </c>
      <c r="I43" t="s">
        <v>1743</v>
      </c>
      <c r="J43" t="s">
        <v>1843</v>
      </c>
      <c r="K43" t="s">
        <v>2366</v>
      </c>
      <c r="M43" t="s">
        <v>2428</v>
      </c>
      <c r="N43" t="s">
        <v>2727</v>
      </c>
      <c r="O43" t="s">
        <v>2728</v>
      </c>
      <c r="P43">
        <v>0</v>
      </c>
      <c r="Q43">
        <v>0</v>
      </c>
      <c r="R43" t="s">
        <v>2730</v>
      </c>
      <c r="S43" t="s">
        <v>2732</v>
      </c>
      <c r="T43" t="s">
        <v>2749</v>
      </c>
      <c r="U43" t="s">
        <v>2896</v>
      </c>
      <c r="V43" t="s">
        <v>3476</v>
      </c>
      <c r="W43" t="s">
        <v>2428</v>
      </c>
      <c r="X43" t="s">
        <v>3601</v>
      </c>
    </row>
    <row r="44" spans="1:24">
      <c r="A44">
        <f>HYPERLINK("https://www.philgeps.gov.ph/GEPSNONPILOT/Tender/SplashBidNoticeAbstractUI.aspx?menuIndex=3&amp;refID=7051829&amp;Result=3","7051829")</f>
        <v>0</v>
      </c>
      <c r="B44" t="s">
        <v>42</v>
      </c>
      <c r="C44" t="s">
        <v>372</v>
      </c>
      <c r="D44" t="s">
        <v>1000</v>
      </c>
      <c r="E44" t="s">
        <v>1103</v>
      </c>
      <c r="F44" t="s">
        <v>1712</v>
      </c>
      <c r="G44" t="s">
        <v>1716</v>
      </c>
      <c r="H44" t="s">
        <v>1722</v>
      </c>
      <c r="I44" t="s">
        <v>1732</v>
      </c>
      <c r="J44" t="s">
        <v>1844</v>
      </c>
      <c r="K44" t="s">
        <v>2366</v>
      </c>
      <c r="M44" t="s">
        <v>2431</v>
      </c>
      <c r="N44" t="s">
        <v>2727</v>
      </c>
      <c r="O44" t="s">
        <v>2728</v>
      </c>
      <c r="P44">
        <v>0</v>
      </c>
      <c r="Q44">
        <v>0</v>
      </c>
      <c r="R44" t="s">
        <v>2730</v>
      </c>
      <c r="S44" t="s">
        <v>2732</v>
      </c>
      <c r="T44" t="s">
        <v>2739</v>
      </c>
      <c r="U44" t="s">
        <v>2897</v>
      </c>
      <c r="V44" t="s">
        <v>3477</v>
      </c>
      <c r="W44" t="s">
        <v>2431</v>
      </c>
      <c r="X44" t="s">
        <v>3600</v>
      </c>
    </row>
    <row r="45" spans="1:24">
      <c r="A45">
        <f>HYPERLINK("https://www.philgeps.gov.ph/GEPSNONPILOT/Tender/SplashBidNoticeAbstractUI.aspx?menuIndex=3&amp;refID=7051781&amp;Result=3","7051781")</f>
        <v>0</v>
      </c>
      <c r="B45" t="s">
        <v>42</v>
      </c>
      <c r="C45" t="s">
        <v>373</v>
      </c>
      <c r="D45" t="s">
        <v>1000</v>
      </c>
      <c r="E45" t="s">
        <v>1104</v>
      </c>
      <c r="F45" t="s">
        <v>1712</v>
      </c>
      <c r="G45" t="s">
        <v>1716</v>
      </c>
      <c r="H45" t="s">
        <v>1722</v>
      </c>
      <c r="I45" t="s">
        <v>1744</v>
      </c>
      <c r="J45" t="s">
        <v>1845</v>
      </c>
      <c r="K45" t="s">
        <v>2366</v>
      </c>
      <c r="M45" t="s">
        <v>2431</v>
      </c>
      <c r="N45" t="s">
        <v>2727</v>
      </c>
      <c r="O45" t="s">
        <v>2728</v>
      </c>
      <c r="P45">
        <v>0</v>
      </c>
      <c r="Q45">
        <v>0</v>
      </c>
      <c r="R45" t="s">
        <v>2730</v>
      </c>
      <c r="S45" t="s">
        <v>2732</v>
      </c>
      <c r="T45" t="s">
        <v>2750</v>
      </c>
      <c r="U45" t="s">
        <v>2898</v>
      </c>
      <c r="V45" t="s">
        <v>3477</v>
      </c>
      <c r="W45" t="s">
        <v>2431</v>
      </c>
      <c r="X45" t="s">
        <v>3600</v>
      </c>
    </row>
    <row r="46" spans="1:24">
      <c r="A46">
        <f>HYPERLINK("https://www.philgeps.gov.ph/GEPSNONPILOT/Tender/SplashBidNoticeAbstractUI.aspx?menuIndex=3&amp;refID=7052986&amp;Result=3","7052986")</f>
        <v>0</v>
      </c>
      <c r="B46" t="s">
        <v>43</v>
      </c>
      <c r="C46" t="s">
        <v>374</v>
      </c>
      <c r="E46" t="s">
        <v>1105</v>
      </c>
      <c r="F46" t="s">
        <v>1712</v>
      </c>
      <c r="G46" t="s">
        <v>1716</v>
      </c>
      <c r="H46" t="s">
        <v>1722</v>
      </c>
      <c r="I46" t="s">
        <v>1745</v>
      </c>
      <c r="J46" t="s">
        <v>1846</v>
      </c>
      <c r="K46" t="s">
        <v>2359</v>
      </c>
      <c r="M46" t="s">
        <v>2432</v>
      </c>
      <c r="N46" t="s">
        <v>2727</v>
      </c>
      <c r="O46" t="s">
        <v>2728</v>
      </c>
      <c r="P46">
        <v>0</v>
      </c>
      <c r="Q46">
        <v>0</v>
      </c>
      <c r="R46" t="s">
        <v>2730</v>
      </c>
      <c r="S46" t="s">
        <v>2732</v>
      </c>
      <c r="T46" t="s">
        <v>2751</v>
      </c>
      <c r="U46" t="s">
        <v>2899</v>
      </c>
      <c r="W46" t="s">
        <v>2432</v>
      </c>
      <c r="X46" t="s">
        <v>3601</v>
      </c>
    </row>
    <row r="47" spans="1:24">
      <c r="A47">
        <f>HYPERLINK("https://www.philgeps.gov.ph/GEPSNONPILOT/Tender/SplashBidNoticeAbstractUI.aspx?menuIndex=3&amp;refID=7052893&amp;Result=3","7052893")</f>
        <v>0</v>
      </c>
      <c r="B47" t="s">
        <v>39</v>
      </c>
      <c r="C47" t="s">
        <v>375</v>
      </c>
      <c r="D47" t="s">
        <v>1004</v>
      </c>
      <c r="E47" t="s">
        <v>1106</v>
      </c>
      <c r="F47" t="s">
        <v>1712</v>
      </c>
      <c r="G47" t="s">
        <v>1717</v>
      </c>
      <c r="H47" t="s">
        <v>1722</v>
      </c>
      <c r="I47" t="s">
        <v>1744</v>
      </c>
      <c r="J47" t="s">
        <v>1847</v>
      </c>
      <c r="K47" t="s">
        <v>2366</v>
      </c>
      <c r="M47" t="s">
        <v>2428</v>
      </c>
      <c r="N47" t="s">
        <v>2727</v>
      </c>
      <c r="O47" t="s">
        <v>2728</v>
      </c>
      <c r="P47">
        <v>0</v>
      </c>
      <c r="Q47">
        <v>0</v>
      </c>
      <c r="R47" t="s">
        <v>2730</v>
      </c>
      <c r="S47" t="s">
        <v>2732</v>
      </c>
      <c r="T47" t="s">
        <v>2749</v>
      </c>
      <c r="U47" t="s">
        <v>2900</v>
      </c>
      <c r="V47" t="s">
        <v>3478</v>
      </c>
      <c r="W47" t="s">
        <v>2428</v>
      </c>
      <c r="X47" t="s">
        <v>3601</v>
      </c>
    </row>
    <row r="48" spans="1:24">
      <c r="A48">
        <f>HYPERLINK("https://www.philgeps.gov.ph/GEPSNONPILOT/Tender/SplashBidNoticeAbstractUI.aspx?menuIndex=3&amp;refID=7051712&amp;Result=3","7051712")</f>
        <v>0</v>
      </c>
      <c r="B48" t="s">
        <v>42</v>
      </c>
      <c r="C48" t="s">
        <v>376</v>
      </c>
      <c r="D48" t="s">
        <v>1000</v>
      </c>
      <c r="E48" t="s">
        <v>1107</v>
      </c>
      <c r="F48" t="s">
        <v>1712</v>
      </c>
      <c r="G48" t="s">
        <v>1716</v>
      </c>
      <c r="H48" t="s">
        <v>1722</v>
      </c>
      <c r="I48" t="s">
        <v>1732</v>
      </c>
      <c r="J48" t="s">
        <v>1848</v>
      </c>
      <c r="K48" t="s">
        <v>2366</v>
      </c>
      <c r="M48" t="s">
        <v>2431</v>
      </c>
      <c r="N48" t="s">
        <v>2727</v>
      </c>
      <c r="O48" t="s">
        <v>2728</v>
      </c>
      <c r="P48">
        <v>0</v>
      </c>
      <c r="Q48">
        <v>0</v>
      </c>
      <c r="R48" t="s">
        <v>2730</v>
      </c>
      <c r="S48" t="s">
        <v>2732</v>
      </c>
      <c r="T48" t="s">
        <v>2750</v>
      </c>
      <c r="U48" t="s">
        <v>2901</v>
      </c>
      <c r="V48" t="s">
        <v>3479</v>
      </c>
      <c r="W48" t="s">
        <v>2431</v>
      </c>
      <c r="X48" t="s">
        <v>3600</v>
      </c>
    </row>
    <row r="49" spans="1:24">
      <c r="A49">
        <f>HYPERLINK("https://www.philgeps.gov.ph/GEPSNONPILOT/Tender/SplashBidNoticeAbstractUI.aspx?menuIndex=3&amp;refID=7053098&amp;Result=3","7053098")</f>
        <v>0</v>
      </c>
      <c r="B49" t="s">
        <v>39</v>
      </c>
      <c r="C49" t="s">
        <v>377</v>
      </c>
      <c r="D49" t="s">
        <v>1004</v>
      </c>
      <c r="E49" t="s">
        <v>1108</v>
      </c>
      <c r="F49" t="s">
        <v>1712</v>
      </c>
      <c r="G49" t="s">
        <v>1717</v>
      </c>
      <c r="H49" t="s">
        <v>1722</v>
      </c>
      <c r="I49" t="s">
        <v>1744</v>
      </c>
      <c r="J49" t="s">
        <v>1849</v>
      </c>
      <c r="K49" t="s">
        <v>2366</v>
      </c>
      <c r="M49" t="s">
        <v>2428</v>
      </c>
      <c r="N49" t="s">
        <v>2727</v>
      </c>
      <c r="O49" t="s">
        <v>2728</v>
      </c>
      <c r="P49">
        <v>0</v>
      </c>
      <c r="Q49">
        <v>0</v>
      </c>
      <c r="R49" t="s">
        <v>2730</v>
      </c>
      <c r="S49" t="s">
        <v>2732</v>
      </c>
      <c r="T49" t="s">
        <v>2749</v>
      </c>
      <c r="U49" t="s">
        <v>2902</v>
      </c>
      <c r="V49" t="s">
        <v>3478</v>
      </c>
      <c r="W49" t="s">
        <v>2428</v>
      </c>
      <c r="X49" t="s">
        <v>3601</v>
      </c>
    </row>
    <row r="50" spans="1:24">
      <c r="A50">
        <f>HYPERLINK("https://www.philgeps.gov.ph/GEPSNONPILOT/Tender/SplashBidNoticeAbstractUI.aspx?menuIndex=3&amp;refID=7055754&amp;Result=3","7055754")</f>
        <v>0</v>
      </c>
      <c r="B50" t="s">
        <v>44</v>
      </c>
      <c r="C50" t="s">
        <v>378</v>
      </c>
      <c r="D50" t="s">
        <v>1007</v>
      </c>
      <c r="E50" t="s">
        <v>1109</v>
      </c>
      <c r="F50" t="s">
        <v>1712</v>
      </c>
      <c r="G50" t="s">
        <v>1716</v>
      </c>
      <c r="H50" t="s">
        <v>1722</v>
      </c>
      <c r="I50" t="s">
        <v>1726</v>
      </c>
      <c r="J50" t="s">
        <v>1820</v>
      </c>
      <c r="K50" t="s">
        <v>2358</v>
      </c>
      <c r="M50" t="s">
        <v>2433</v>
      </c>
      <c r="N50" t="s">
        <v>2727</v>
      </c>
      <c r="O50" t="s">
        <v>2728</v>
      </c>
      <c r="P50">
        <v>0</v>
      </c>
      <c r="Q50">
        <v>3</v>
      </c>
      <c r="R50" t="s">
        <v>2730</v>
      </c>
      <c r="S50" t="s">
        <v>2732</v>
      </c>
      <c r="T50" t="s">
        <v>2752</v>
      </c>
      <c r="U50" t="s">
        <v>2903</v>
      </c>
      <c r="W50" t="s">
        <v>2433</v>
      </c>
      <c r="X50" t="s">
        <v>3602</v>
      </c>
    </row>
    <row r="51" spans="1:24">
      <c r="A51">
        <f>HYPERLINK("https://www.philgeps.gov.ph/GEPSNONPILOT/Tender/SplashBidNoticeAbstractUI.aspx?menuIndex=3&amp;refID=7053380&amp;Result=3","7053380")</f>
        <v>0</v>
      </c>
      <c r="B51" t="s">
        <v>39</v>
      </c>
      <c r="C51" t="s">
        <v>379</v>
      </c>
      <c r="D51" t="s">
        <v>1004</v>
      </c>
      <c r="E51" t="s">
        <v>1110</v>
      </c>
      <c r="F51" t="s">
        <v>1712</v>
      </c>
      <c r="G51" t="s">
        <v>1717</v>
      </c>
      <c r="H51" t="s">
        <v>1722</v>
      </c>
      <c r="I51" t="s">
        <v>1735</v>
      </c>
      <c r="J51" t="s">
        <v>1850</v>
      </c>
      <c r="K51" t="s">
        <v>2366</v>
      </c>
      <c r="M51" t="s">
        <v>2428</v>
      </c>
      <c r="N51" t="s">
        <v>2727</v>
      </c>
      <c r="O51" t="s">
        <v>2728</v>
      </c>
      <c r="P51">
        <v>0</v>
      </c>
      <c r="Q51">
        <v>0</v>
      </c>
      <c r="R51" t="s">
        <v>2730</v>
      </c>
      <c r="S51" t="s">
        <v>2732</v>
      </c>
      <c r="T51" t="s">
        <v>2749</v>
      </c>
      <c r="U51" t="s">
        <v>2904</v>
      </c>
      <c r="V51" t="s">
        <v>3480</v>
      </c>
      <c r="W51" t="s">
        <v>2428</v>
      </c>
      <c r="X51" t="s">
        <v>3601</v>
      </c>
    </row>
    <row r="52" spans="1:24">
      <c r="A52">
        <f>HYPERLINK("https://www.philgeps.gov.ph/GEPSNONPILOT/Tender/SplashBidNoticeAbstractUI.aspx?menuIndex=3&amp;refID=7051649&amp;Result=3","7051649")</f>
        <v>0</v>
      </c>
      <c r="B52" t="s">
        <v>42</v>
      </c>
      <c r="C52" t="s">
        <v>380</v>
      </c>
      <c r="D52" t="s">
        <v>1000</v>
      </c>
      <c r="E52" t="s">
        <v>1111</v>
      </c>
      <c r="F52" t="s">
        <v>1712</v>
      </c>
      <c r="G52" t="s">
        <v>1716</v>
      </c>
      <c r="H52" t="s">
        <v>1722</v>
      </c>
      <c r="I52" t="s">
        <v>1746</v>
      </c>
      <c r="J52" t="s">
        <v>1851</v>
      </c>
      <c r="K52" t="s">
        <v>2366</v>
      </c>
      <c r="M52" t="s">
        <v>2431</v>
      </c>
      <c r="N52" t="s">
        <v>2727</v>
      </c>
      <c r="O52" t="s">
        <v>2728</v>
      </c>
      <c r="P52">
        <v>0</v>
      </c>
      <c r="Q52">
        <v>0</v>
      </c>
      <c r="R52" t="s">
        <v>2730</v>
      </c>
      <c r="S52" t="s">
        <v>2732</v>
      </c>
      <c r="T52" t="s">
        <v>2750</v>
      </c>
      <c r="U52" t="s">
        <v>2905</v>
      </c>
      <c r="V52" t="s">
        <v>3479</v>
      </c>
      <c r="W52" t="s">
        <v>2431</v>
      </c>
      <c r="X52" t="s">
        <v>3600</v>
      </c>
    </row>
    <row r="53" spans="1:24">
      <c r="A53">
        <f>HYPERLINK("https://www.philgeps.gov.ph/GEPSNONPILOT/Tender/SplashBidNoticeAbstractUI.aspx?menuIndex=3&amp;refID=7055786&amp;Result=3","7055786")</f>
        <v>0</v>
      </c>
      <c r="B53" t="s">
        <v>45</v>
      </c>
      <c r="C53" t="s">
        <v>381</v>
      </c>
      <c r="D53" t="s">
        <v>1008</v>
      </c>
      <c r="E53" t="s">
        <v>1112</v>
      </c>
      <c r="F53" t="s">
        <v>1712</v>
      </c>
      <c r="G53" t="s">
        <v>1716</v>
      </c>
      <c r="H53" t="s">
        <v>1722</v>
      </c>
      <c r="I53" t="s">
        <v>1727</v>
      </c>
      <c r="J53" t="s">
        <v>1852</v>
      </c>
      <c r="K53" t="s">
        <v>2358</v>
      </c>
      <c r="M53" t="s">
        <v>2434</v>
      </c>
      <c r="N53" t="s">
        <v>2727</v>
      </c>
      <c r="O53" t="s">
        <v>2728</v>
      </c>
      <c r="P53">
        <v>0</v>
      </c>
      <c r="Q53">
        <v>0</v>
      </c>
      <c r="R53" t="s">
        <v>2730</v>
      </c>
      <c r="S53" t="s">
        <v>2732</v>
      </c>
      <c r="T53" t="s">
        <v>2753</v>
      </c>
      <c r="U53" t="s">
        <v>2906</v>
      </c>
      <c r="W53" t="s">
        <v>2434</v>
      </c>
      <c r="X53" t="s">
        <v>3602</v>
      </c>
    </row>
    <row r="54" spans="1:24">
      <c r="A54">
        <f>HYPERLINK("https://www.philgeps.gov.ph/GEPSNONPILOT/Tender/SplashBidNoticeAbstractUI.aspx?menuIndex=3&amp;refID=7053341&amp;Result=3","7053341")</f>
        <v>0</v>
      </c>
      <c r="B54" t="s">
        <v>39</v>
      </c>
      <c r="C54" t="s">
        <v>382</v>
      </c>
      <c r="D54" t="s">
        <v>1004</v>
      </c>
      <c r="E54" t="s">
        <v>1113</v>
      </c>
      <c r="F54" t="s">
        <v>1712</v>
      </c>
      <c r="G54" t="s">
        <v>1717</v>
      </c>
      <c r="H54" t="s">
        <v>1722</v>
      </c>
      <c r="I54" t="s">
        <v>1745</v>
      </c>
      <c r="J54" t="s">
        <v>1853</v>
      </c>
      <c r="K54" t="s">
        <v>2366</v>
      </c>
      <c r="M54" t="s">
        <v>2428</v>
      </c>
      <c r="N54" t="s">
        <v>2727</v>
      </c>
      <c r="O54" t="s">
        <v>2728</v>
      </c>
      <c r="P54">
        <v>0</v>
      </c>
      <c r="Q54">
        <v>0</v>
      </c>
      <c r="R54" t="s">
        <v>2730</v>
      </c>
      <c r="S54" t="s">
        <v>2732</v>
      </c>
      <c r="T54" t="s">
        <v>2749</v>
      </c>
      <c r="U54" t="s">
        <v>2907</v>
      </c>
      <c r="V54" t="s">
        <v>3481</v>
      </c>
      <c r="W54" t="s">
        <v>2428</v>
      </c>
      <c r="X54" t="s">
        <v>3601</v>
      </c>
    </row>
    <row r="55" spans="1:24">
      <c r="A55">
        <f>HYPERLINK("https://www.philgeps.gov.ph/GEPSNONPILOT/Tender/SplashBidNoticeAbstractUI.aspx?menuIndex=3&amp;refID=7054152&amp;Result=3","7054152")</f>
        <v>0</v>
      </c>
      <c r="B55" t="s">
        <v>46</v>
      </c>
      <c r="C55" t="s">
        <v>383</v>
      </c>
      <c r="D55" t="s">
        <v>998</v>
      </c>
      <c r="E55" t="s">
        <v>1114</v>
      </c>
      <c r="F55" t="s">
        <v>1712</v>
      </c>
      <c r="G55" t="s">
        <v>1717</v>
      </c>
      <c r="H55" t="s">
        <v>1725</v>
      </c>
      <c r="I55" t="s">
        <v>1747</v>
      </c>
      <c r="J55" t="s">
        <v>1854</v>
      </c>
      <c r="K55" t="s">
        <v>2360</v>
      </c>
      <c r="M55" t="s">
        <v>2435</v>
      </c>
      <c r="N55" t="s">
        <v>2727</v>
      </c>
      <c r="O55" t="s">
        <v>2728</v>
      </c>
      <c r="P55">
        <v>0</v>
      </c>
      <c r="Q55">
        <v>0</v>
      </c>
      <c r="R55" t="s">
        <v>2730</v>
      </c>
      <c r="S55" t="s">
        <v>2732</v>
      </c>
      <c r="T55" t="s">
        <v>2749</v>
      </c>
      <c r="U55" t="s">
        <v>2908</v>
      </c>
      <c r="W55" t="s">
        <v>2435</v>
      </c>
      <c r="X55" t="s">
        <v>3601</v>
      </c>
    </row>
    <row r="56" spans="1:24">
      <c r="A56">
        <f>HYPERLINK("https://www.philgeps.gov.ph/GEPSNONPILOT/Tender/SplashBidNoticeAbstractUI.aspx?menuIndex=3&amp;refID=7053502&amp;Result=3","7053502")</f>
        <v>0</v>
      </c>
      <c r="B56" t="s">
        <v>39</v>
      </c>
      <c r="C56" t="s">
        <v>384</v>
      </c>
      <c r="D56" t="s">
        <v>1004</v>
      </c>
      <c r="E56" t="s">
        <v>1115</v>
      </c>
      <c r="F56" t="s">
        <v>1712</v>
      </c>
      <c r="G56" t="s">
        <v>1717</v>
      </c>
      <c r="H56" t="s">
        <v>1722</v>
      </c>
      <c r="I56" t="s">
        <v>1739</v>
      </c>
      <c r="J56" t="s">
        <v>1855</v>
      </c>
      <c r="K56" t="s">
        <v>2366</v>
      </c>
      <c r="M56" t="s">
        <v>2428</v>
      </c>
      <c r="N56" t="s">
        <v>2727</v>
      </c>
      <c r="O56" t="s">
        <v>2728</v>
      </c>
      <c r="P56">
        <v>0</v>
      </c>
      <c r="Q56">
        <v>0</v>
      </c>
      <c r="R56" t="s">
        <v>2730</v>
      </c>
      <c r="S56" t="s">
        <v>2732</v>
      </c>
      <c r="T56" t="s">
        <v>2749</v>
      </c>
      <c r="U56" t="s">
        <v>2909</v>
      </c>
      <c r="V56" t="s">
        <v>3482</v>
      </c>
      <c r="W56" t="s">
        <v>2428</v>
      </c>
      <c r="X56" t="s">
        <v>3601</v>
      </c>
    </row>
    <row r="57" spans="1:24">
      <c r="A57">
        <f>HYPERLINK("https://www.philgeps.gov.ph/GEPSNONPILOT/Tender/SplashBidNoticeAbstractUI.aspx?menuIndex=3&amp;refID=7052225&amp;Result=3","7052225")</f>
        <v>0</v>
      </c>
      <c r="B57" t="s">
        <v>47</v>
      </c>
      <c r="C57" t="s">
        <v>385</v>
      </c>
      <c r="E57" t="s">
        <v>1116</v>
      </c>
      <c r="F57" t="s">
        <v>1712</v>
      </c>
      <c r="G57" t="s">
        <v>1716</v>
      </c>
      <c r="H57" t="s">
        <v>1722</v>
      </c>
      <c r="I57" t="s">
        <v>1748</v>
      </c>
      <c r="J57" t="s">
        <v>1856</v>
      </c>
      <c r="K57" t="s">
        <v>2367</v>
      </c>
      <c r="M57" t="s">
        <v>2436</v>
      </c>
      <c r="N57" t="s">
        <v>2727</v>
      </c>
      <c r="O57" t="s">
        <v>2728</v>
      </c>
      <c r="P57">
        <v>0</v>
      </c>
      <c r="Q57">
        <v>0</v>
      </c>
      <c r="R57" t="s">
        <v>2730</v>
      </c>
      <c r="S57" t="s">
        <v>2732</v>
      </c>
      <c r="T57" t="s">
        <v>2754</v>
      </c>
      <c r="U57" t="s">
        <v>2910</v>
      </c>
      <c r="W57" t="s">
        <v>2436</v>
      </c>
      <c r="X57" t="s">
        <v>3600</v>
      </c>
    </row>
    <row r="58" spans="1:24">
      <c r="A58">
        <f>HYPERLINK("https://www.philgeps.gov.ph/GEPSNONPILOT/Tender/SplashBidNoticeAbstractUI.aspx?menuIndex=3&amp;refID=7053591&amp;Result=3","7053591")</f>
        <v>0</v>
      </c>
      <c r="B58" t="s">
        <v>39</v>
      </c>
      <c r="C58" t="s">
        <v>386</v>
      </c>
      <c r="D58" t="s">
        <v>1004</v>
      </c>
      <c r="E58" t="s">
        <v>1117</v>
      </c>
      <c r="F58" t="s">
        <v>1712</v>
      </c>
      <c r="G58" t="s">
        <v>1719</v>
      </c>
      <c r="H58" t="s">
        <v>1722</v>
      </c>
      <c r="I58" t="s">
        <v>1732</v>
      </c>
      <c r="J58" t="s">
        <v>1857</v>
      </c>
      <c r="K58" t="s">
        <v>2366</v>
      </c>
      <c r="M58" t="s">
        <v>2428</v>
      </c>
      <c r="N58" t="s">
        <v>2727</v>
      </c>
      <c r="O58" t="s">
        <v>2728</v>
      </c>
      <c r="P58">
        <v>0</v>
      </c>
      <c r="Q58">
        <v>0</v>
      </c>
      <c r="R58" t="s">
        <v>2730</v>
      </c>
      <c r="S58" t="s">
        <v>2732</v>
      </c>
      <c r="T58" t="s">
        <v>2749</v>
      </c>
      <c r="U58" t="s">
        <v>2911</v>
      </c>
      <c r="V58" t="s">
        <v>3478</v>
      </c>
      <c r="W58" t="s">
        <v>2428</v>
      </c>
      <c r="X58" t="s">
        <v>3601</v>
      </c>
    </row>
    <row r="59" spans="1:24">
      <c r="A59">
        <f>HYPERLINK("https://www.philgeps.gov.ph/GEPSNONPILOT/Tender/SplashBidNoticeAbstractUI.aspx?menuIndex=3&amp;refID=7054829&amp;Result=3","7054829")</f>
        <v>0</v>
      </c>
      <c r="B59" t="s">
        <v>48</v>
      </c>
      <c r="C59" t="s">
        <v>387</v>
      </c>
      <c r="D59" t="s">
        <v>997</v>
      </c>
      <c r="E59" t="s">
        <v>1118</v>
      </c>
      <c r="F59" t="s">
        <v>1712</v>
      </c>
      <c r="G59" t="s">
        <v>1717</v>
      </c>
      <c r="H59" t="s">
        <v>1722</v>
      </c>
      <c r="I59" t="s">
        <v>1727</v>
      </c>
      <c r="J59" t="s">
        <v>1858</v>
      </c>
      <c r="K59" t="s">
        <v>2366</v>
      </c>
      <c r="M59" t="s">
        <v>2437</v>
      </c>
      <c r="N59" t="s">
        <v>2727</v>
      </c>
      <c r="O59" t="s">
        <v>2728</v>
      </c>
      <c r="P59">
        <v>0</v>
      </c>
      <c r="Q59">
        <v>0</v>
      </c>
      <c r="R59" t="s">
        <v>2730</v>
      </c>
      <c r="S59" t="s">
        <v>2732</v>
      </c>
      <c r="T59" t="s">
        <v>2755</v>
      </c>
      <c r="U59" t="s">
        <v>2912</v>
      </c>
      <c r="V59" t="s">
        <v>3483</v>
      </c>
      <c r="W59" t="s">
        <v>2437</v>
      </c>
      <c r="X59" t="s">
        <v>3601</v>
      </c>
    </row>
    <row r="60" spans="1:24">
      <c r="A60">
        <f>HYPERLINK("https://www.philgeps.gov.ph/GEPSNONPILOT/Tender/SplashBidNoticeAbstractUI.aspx?menuIndex=3&amp;refID=7056291&amp;Result=3","7056291")</f>
        <v>0</v>
      </c>
      <c r="B60" t="s">
        <v>39</v>
      </c>
      <c r="C60" t="s">
        <v>388</v>
      </c>
      <c r="D60" t="s">
        <v>1004</v>
      </c>
      <c r="E60" t="s">
        <v>1119</v>
      </c>
      <c r="F60" t="s">
        <v>1712</v>
      </c>
      <c r="G60" t="s">
        <v>1717</v>
      </c>
      <c r="H60" t="s">
        <v>1722</v>
      </c>
      <c r="I60" t="s">
        <v>1749</v>
      </c>
      <c r="J60" t="s">
        <v>1859</v>
      </c>
      <c r="K60" t="s">
        <v>2366</v>
      </c>
      <c r="M60" t="s">
        <v>2428</v>
      </c>
      <c r="N60" t="s">
        <v>2727</v>
      </c>
      <c r="O60" t="s">
        <v>2728</v>
      </c>
      <c r="P60">
        <v>0</v>
      </c>
      <c r="Q60">
        <v>0</v>
      </c>
      <c r="R60" t="s">
        <v>2730</v>
      </c>
      <c r="S60" t="s">
        <v>2732</v>
      </c>
      <c r="T60" t="s">
        <v>2749</v>
      </c>
      <c r="U60" t="s">
        <v>2913</v>
      </c>
      <c r="V60" t="s">
        <v>3484</v>
      </c>
      <c r="W60" t="s">
        <v>2428</v>
      </c>
      <c r="X60" t="s">
        <v>3602</v>
      </c>
    </row>
    <row r="61" spans="1:24">
      <c r="A61">
        <f>HYPERLINK("https://www.philgeps.gov.ph/GEPSNONPILOT/Tender/SplashBidNoticeAbstractUI.aspx?menuIndex=3&amp;refID=7053551&amp;Result=3","7053551")</f>
        <v>0</v>
      </c>
      <c r="B61" t="s">
        <v>39</v>
      </c>
      <c r="C61" t="s">
        <v>389</v>
      </c>
      <c r="D61" t="s">
        <v>1004</v>
      </c>
      <c r="E61" t="s">
        <v>1120</v>
      </c>
      <c r="F61" t="s">
        <v>1712</v>
      </c>
      <c r="G61" t="s">
        <v>1719</v>
      </c>
      <c r="H61" t="s">
        <v>1722</v>
      </c>
      <c r="I61" t="s">
        <v>1732</v>
      </c>
      <c r="J61" t="s">
        <v>1831</v>
      </c>
      <c r="K61" t="s">
        <v>2366</v>
      </c>
      <c r="M61" t="s">
        <v>2428</v>
      </c>
      <c r="N61" t="s">
        <v>2727</v>
      </c>
      <c r="O61" t="s">
        <v>2728</v>
      </c>
      <c r="P61">
        <v>0</v>
      </c>
      <c r="Q61">
        <v>0</v>
      </c>
      <c r="R61" t="s">
        <v>2730</v>
      </c>
      <c r="S61" t="s">
        <v>2732</v>
      </c>
      <c r="T61" t="s">
        <v>2749</v>
      </c>
      <c r="U61" t="s">
        <v>2914</v>
      </c>
      <c r="V61" t="s">
        <v>3472</v>
      </c>
      <c r="W61" t="s">
        <v>2428</v>
      </c>
      <c r="X61" t="s">
        <v>3601</v>
      </c>
    </row>
    <row r="62" spans="1:24">
      <c r="A62">
        <f>HYPERLINK("https://www.philgeps.gov.ph/GEPSNONPILOT/Tender/SplashBidNoticeAbstractUI.aspx?menuIndex=3&amp;refID=7055816&amp;Result=3","7055816")</f>
        <v>0</v>
      </c>
      <c r="B62" t="s">
        <v>44</v>
      </c>
      <c r="C62" t="s">
        <v>390</v>
      </c>
      <c r="D62" t="s">
        <v>1007</v>
      </c>
      <c r="E62" t="s">
        <v>1121</v>
      </c>
      <c r="F62" t="s">
        <v>1712</v>
      </c>
      <c r="G62" t="s">
        <v>1716</v>
      </c>
      <c r="H62" t="s">
        <v>1723</v>
      </c>
      <c r="I62" t="s">
        <v>1729</v>
      </c>
      <c r="J62" t="s">
        <v>1860</v>
      </c>
      <c r="K62" t="s">
        <v>2362</v>
      </c>
      <c r="M62" t="s">
        <v>2433</v>
      </c>
      <c r="N62" t="s">
        <v>2727</v>
      </c>
      <c r="O62" t="s">
        <v>2728</v>
      </c>
      <c r="P62">
        <v>0</v>
      </c>
      <c r="Q62">
        <v>0</v>
      </c>
      <c r="R62" t="s">
        <v>2730</v>
      </c>
      <c r="S62" t="s">
        <v>2732</v>
      </c>
      <c r="T62" t="s">
        <v>2739</v>
      </c>
      <c r="U62" t="s">
        <v>2915</v>
      </c>
      <c r="W62" t="s">
        <v>2433</v>
      </c>
      <c r="X62" t="s">
        <v>3602</v>
      </c>
    </row>
    <row r="63" spans="1:24">
      <c r="A63">
        <f>HYPERLINK("https://www.philgeps.gov.ph/GEPSNONPILOT/Tender/SplashBidNoticeAbstractUI.aspx?menuIndex=3&amp;refID=7054053&amp;Result=3","7054053")</f>
        <v>0</v>
      </c>
      <c r="B63" t="s">
        <v>39</v>
      </c>
      <c r="C63" t="s">
        <v>391</v>
      </c>
      <c r="D63" t="s">
        <v>1004</v>
      </c>
      <c r="E63" t="s">
        <v>1122</v>
      </c>
      <c r="F63" t="s">
        <v>1712</v>
      </c>
      <c r="G63" t="s">
        <v>1719</v>
      </c>
      <c r="H63" t="s">
        <v>1722</v>
      </c>
      <c r="I63" t="s">
        <v>1732</v>
      </c>
      <c r="J63" t="s">
        <v>1861</v>
      </c>
      <c r="K63" t="s">
        <v>2366</v>
      </c>
      <c r="M63" t="s">
        <v>2428</v>
      </c>
      <c r="N63" t="s">
        <v>2727</v>
      </c>
      <c r="O63" t="s">
        <v>2728</v>
      </c>
      <c r="P63">
        <v>0</v>
      </c>
      <c r="Q63">
        <v>0</v>
      </c>
      <c r="R63" t="s">
        <v>2730</v>
      </c>
      <c r="S63" t="s">
        <v>2732</v>
      </c>
      <c r="T63" t="s">
        <v>2749</v>
      </c>
      <c r="U63" t="s">
        <v>2916</v>
      </c>
      <c r="V63" t="s">
        <v>3485</v>
      </c>
      <c r="W63" t="s">
        <v>2428</v>
      </c>
      <c r="X63" t="s">
        <v>3601</v>
      </c>
    </row>
    <row r="64" spans="1:24">
      <c r="A64">
        <f>HYPERLINK("https://www.philgeps.gov.ph/GEPSNONPILOT/Tender/SplashBidNoticeAbstractUI.aspx?menuIndex=3&amp;refID=7056258&amp;Result=3","7056258")</f>
        <v>0</v>
      </c>
      <c r="B64" t="s">
        <v>49</v>
      </c>
      <c r="C64" t="s">
        <v>392</v>
      </c>
      <c r="D64" t="s">
        <v>1009</v>
      </c>
      <c r="E64" t="s">
        <v>1123</v>
      </c>
      <c r="F64" t="s">
        <v>1712</v>
      </c>
      <c r="G64" t="s">
        <v>1718</v>
      </c>
      <c r="H64" t="s">
        <v>1722</v>
      </c>
      <c r="I64" t="s">
        <v>1742</v>
      </c>
      <c r="J64" t="s">
        <v>1862</v>
      </c>
      <c r="K64" t="s">
        <v>2371</v>
      </c>
      <c r="M64" t="s">
        <v>2438</v>
      </c>
      <c r="N64" t="s">
        <v>2727</v>
      </c>
      <c r="O64" t="s">
        <v>2728</v>
      </c>
      <c r="P64">
        <v>0</v>
      </c>
      <c r="Q64">
        <v>0</v>
      </c>
      <c r="R64" t="s">
        <v>2730</v>
      </c>
      <c r="S64" t="s">
        <v>2732</v>
      </c>
      <c r="T64" t="s">
        <v>2756</v>
      </c>
      <c r="U64" t="s">
        <v>2917</v>
      </c>
      <c r="W64" t="s">
        <v>2438</v>
      </c>
      <c r="X64" t="s">
        <v>3602</v>
      </c>
    </row>
    <row r="65" spans="1:24">
      <c r="A65">
        <f>HYPERLINK("https://www.philgeps.gov.ph/GEPSNONPILOT/Tender/SplashBidNoticeAbstractUI.aspx?menuIndex=3&amp;refID=7056001&amp;Result=3","7056001")</f>
        <v>0</v>
      </c>
      <c r="B65" t="s">
        <v>45</v>
      </c>
      <c r="C65" t="s">
        <v>393</v>
      </c>
      <c r="D65" t="s">
        <v>1008</v>
      </c>
      <c r="E65" t="s">
        <v>1124</v>
      </c>
      <c r="F65" t="s">
        <v>1712</v>
      </c>
      <c r="G65" t="s">
        <v>1716</v>
      </c>
      <c r="H65" t="s">
        <v>1722</v>
      </c>
      <c r="I65" t="s">
        <v>1727</v>
      </c>
      <c r="J65" t="s">
        <v>1863</v>
      </c>
      <c r="K65" t="s">
        <v>2358</v>
      </c>
      <c r="M65" t="s">
        <v>2434</v>
      </c>
      <c r="N65" t="s">
        <v>2727</v>
      </c>
      <c r="O65" t="s">
        <v>2728</v>
      </c>
      <c r="P65">
        <v>0</v>
      </c>
      <c r="Q65">
        <v>0</v>
      </c>
      <c r="R65" t="s">
        <v>2730</v>
      </c>
      <c r="S65" t="s">
        <v>2732</v>
      </c>
      <c r="T65" t="s">
        <v>2753</v>
      </c>
      <c r="U65" t="s">
        <v>2918</v>
      </c>
      <c r="W65" t="s">
        <v>2434</v>
      </c>
      <c r="X65" t="s">
        <v>3602</v>
      </c>
    </row>
    <row r="66" spans="1:24">
      <c r="A66">
        <f>HYPERLINK("https://www.philgeps.gov.ph/GEPSNONPILOT/Tender/SplashBidNoticeAbstractUI.aspx?menuIndex=3&amp;refID=7056254&amp;Result=3","7056254")</f>
        <v>0</v>
      </c>
      <c r="B66" t="s">
        <v>50</v>
      </c>
      <c r="C66" t="s">
        <v>394</v>
      </c>
      <c r="D66" t="s">
        <v>1010</v>
      </c>
      <c r="E66" t="s">
        <v>1125</v>
      </c>
      <c r="F66" t="s">
        <v>1712</v>
      </c>
      <c r="G66" t="s">
        <v>1716</v>
      </c>
      <c r="H66" t="s">
        <v>1722</v>
      </c>
      <c r="I66" t="s">
        <v>1734</v>
      </c>
      <c r="J66" t="s">
        <v>1864</v>
      </c>
      <c r="K66" t="s">
        <v>2371</v>
      </c>
      <c r="M66" t="s">
        <v>2439</v>
      </c>
      <c r="N66" t="s">
        <v>2727</v>
      </c>
      <c r="O66" t="s">
        <v>2728</v>
      </c>
      <c r="P66">
        <v>0</v>
      </c>
      <c r="Q66">
        <v>0</v>
      </c>
      <c r="R66" t="s">
        <v>2730</v>
      </c>
      <c r="S66" t="s">
        <v>2732</v>
      </c>
      <c r="T66" t="s">
        <v>2757</v>
      </c>
      <c r="U66" t="s">
        <v>2919</v>
      </c>
      <c r="W66" t="s">
        <v>2439</v>
      </c>
      <c r="X66" t="s">
        <v>3602</v>
      </c>
    </row>
    <row r="67" spans="1:24">
      <c r="A67">
        <f>HYPERLINK("https://www.philgeps.gov.ph/GEPSNONPILOT/Tender/SplashBidNoticeAbstractUI.aspx?menuIndex=3&amp;refID=7056241&amp;Result=3","7056241")</f>
        <v>0</v>
      </c>
      <c r="B67" t="s">
        <v>39</v>
      </c>
      <c r="C67" t="s">
        <v>395</v>
      </c>
      <c r="D67" t="s">
        <v>1004</v>
      </c>
      <c r="E67" t="s">
        <v>1126</v>
      </c>
      <c r="F67" t="s">
        <v>1712</v>
      </c>
      <c r="G67" t="s">
        <v>1717</v>
      </c>
      <c r="H67" t="s">
        <v>1722</v>
      </c>
      <c r="I67" t="s">
        <v>1739</v>
      </c>
      <c r="J67" t="s">
        <v>1865</v>
      </c>
      <c r="K67" t="s">
        <v>2366</v>
      </c>
      <c r="M67" t="s">
        <v>2428</v>
      </c>
      <c r="N67" t="s">
        <v>2727</v>
      </c>
      <c r="O67" t="s">
        <v>2728</v>
      </c>
      <c r="P67">
        <v>0</v>
      </c>
      <c r="Q67">
        <v>0</v>
      </c>
      <c r="R67" t="s">
        <v>2730</v>
      </c>
      <c r="S67" t="s">
        <v>2732</v>
      </c>
      <c r="T67" t="s">
        <v>2749</v>
      </c>
      <c r="U67" t="s">
        <v>2920</v>
      </c>
      <c r="V67" t="s">
        <v>3482</v>
      </c>
      <c r="W67" t="s">
        <v>2428</v>
      </c>
      <c r="X67" t="s">
        <v>3602</v>
      </c>
    </row>
    <row r="68" spans="1:24">
      <c r="A68">
        <f>HYPERLINK("https://www.philgeps.gov.ph/GEPSNONPILOT/Tender/SplashBidNoticeAbstractUI.aspx?menuIndex=3&amp;refID=7056022&amp;Result=3","7056022")</f>
        <v>0</v>
      </c>
      <c r="B68" t="s">
        <v>51</v>
      </c>
      <c r="C68" t="s">
        <v>396</v>
      </c>
      <c r="D68" t="s">
        <v>1011</v>
      </c>
      <c r="E68" t="s">
        <v>1127</v>
      </c>
      <c r="F68" t="s">
        <v>1712</v>
      </c>
      <c r="G68" t="s">
        <v>1717</v>
      </c>
      <c r="H68" t="s">
        <v>1722</v>
      </c>
      <c r="I68" t="s">
        <v>1750</v>
      </c>
      <c r="J68" t="s">
        <v>1847</v>
      </c>
      <c r="K68" t="s">
        <v>2372</v>
      </c>
      <c r="M68" t="s">
        <v>2440</v>
      </c>
      <c r="N68" t="s">
        <v>2727</v>
      </c>
      <c r="O68" t="s">
        <v>2728</v>
      </c>
      <c r="P68">
        <v>0</v>
      </c>
      <c r="Q68">
        <v>0</v>
      </c>
      <c r="R68" t="s">
        <v>2730</v>
      </c>
      <c r="S68" t="s">
        <v>2732</v>
      </c>
      <c r="T68" t="s">
        <v>2749</v>
      </c>
      <c r="U68" t="s">
        <v>2921</v>
      </c>
      <c r="W68" t="s">
        <v>2440</v>
      </c>
      <c r="X68" t="s">
        <v>3602</v>
      </c>
    </row>
    <row r="69" spans="1:24">
      <c r="A69">
        <f>HYPERLINK("https://www.philgeps.gov.ph/GEPSNONPILOT/Tender/SplashBidNoticeAbstractUI.aspx?menuIndex=3&amp;refID=7058585&amp;Result=3","7058585")</f>
        <v>0</v>
      </c>
      <c r="B69" t="s">
        <v>52</v>
      </c>
      <c r="C69" t="s">
        <v>397</v>
      </c>
      <c r="D69" t="s">
        <v>1012</v>
      </c>
      <c r="E69" t="s">
        <v>1128</v>
      </c>
      <c r="F69" t="s">
        <v>1712</v>
      </c>
      <c r="G69" t="s">
        <v>1716</v>
      </c>
      <c r="H69" t="s">
        <v>1723</v>
      </c>
      <c r="I69" t="s">
        <v>1729</v>
      </c>
      <c r="J69" t="s">
        <v>1866</v>
      </c>
      <c r="K69" t="s">
        <v>2373</v>
      </c>
      <c r="M69" t="s">
        <v>2441</v>
      </c>
      <c r="N69" t="s">
        <v>2727</v>
      </c>
      <c r="O69" t="s">
        <v>2728</v>
      </c>
      <c r="P69">
        <v>0</v>
      </c>
      <c r="Q69">
        <v>0</v>
      </c>
      <c r="R69" t="s">
        <v>2730</v>
      </c>
      <c r="S69" t="s">
        <v>2732</v>
      </c>
      <c r="T69" t="s">
        <v>2758</v>
      </c>
      <c r="U69" t="s">
        <v>2922</v>
      </c>
      <c r="W69" t="s">
        <v>2441</v>
      </c>
      <c r="X69" t="s">
        <v>3603</v>
      </c>
    </row>
    <row r="70" spans="1:24">
      <c r="A70">
        <f>HYPERLINK("https://www.philgeps.gov.ph/GEPSNONPILOT/Tender/SplashBidNoticeAbstractUI.aspx?menuIndex=3&amp;refID=7056199&amp;Result=3","7056199")</f>
        <v>0</v>
      </c>
      <c r="B70" t="s">
        <v>44</v>
      </c>
      <c r="C70" t="s">
        <v>398</v>
      </c>
      <c r="D70" t="s">
        <v>1007</v>
      </c>
      <c r="E70" t="s">
        <v>1129</v>
      </c>
      <c r="F70" t="s">
        <v>1712</v>
      </c>
      <c r="G70" t="s">
        <v>1716</v>
      </c>
      <c r="H70" t="s">
        <v>1723</v>
      </c>
      <c r="I70" t="s">
        <v>1729</v>
      </c>
      <c r="J70" t="s">
        <v>1820</v>
      </c>
      <c r="K70" t="s">
        <v>2374</v>
      </c>
      <c r="M70" t="s">
        <v>2433</v>
      </c>
      <c r="N70" t="s">
        <v>2727</v>
      </c>
      <c r="O70" t="s">
        <v>2728</v>
      </c>
      <c r="P70">
        <v>0</v>
      </c>
      <c r="Q70">
        <v>0</v>
      </c>
      <c r="R70" t="s">
        <v>2730</v>
      </c>
      <c r="S70" t="s">
        <v>2732</v>
      </c>
      <c r="T70" t="s">
        <v>2759</v>
      </c>
      <c r="U70" t="s">
        <v>2923</v>
      </c>
      <c r="W70" t="s">
        <v>2433</v>
      </c>
      <c r="X70" t="s">
        <v>3602</v>
      </c>
    </row>
    <row r="71" spans="1:24">
      <c r="A71">
        <f>HYPERLINK("https://www.philgeps.gov.ph/GEPSNONPILOT/Tender/SplashBidNoticeAbstractUI.aspx?menuIndex=3&amp;refID=7055958&amp;Result=3","7055958")</f>
        <v>0</v>
      </c>
      <c r="B71" t="s">
        <v>50</v>
      </c>
      <c r="C71" t="s">
        <v>399</v>
      </c>
      <c r="D71" t="s">
        <v>1010</v>
      </c>
      <c r="E71" t="s">
        <v>1130</v>
      </c>
      <c r="F71" t="s">
        <v>1712</v>
      </c>
      <c r="G71" t="s">
        <v>1716</v>
      </c>
      <c r="H71" t="s">
        <v>1722</v>
      </c>
      <c r="I71" t="s">
        <v>1736</v>
      </c>
      <c r="J71" t="s">
        <v>1867</v>
      </c>
      <c r="K71" t="s">
        <v>2371</v>
      </c>
      <c r="M71" t="s">
        <v>2439</v>
      </c>
      <c r="N71" t="s">
        <v>2727</v>
      </c>
      <c r="O71" t="s">
        <v>2728</v>
      </c>
      <c r="P71">
        <v>0</v>
      </c>
      <c r="Q71">
        <v>0</v>
      </c>
      <c r="R71" t="s">
        <v>2730</v>
      </c>
      <c r="S71" t="s">
        <v>2732</v>
      </c>
      <c r="T71" t="s">
        <v>2757</v>
      </c>
      <c r="U71" t="s">
        <v>2924</v>
      </c>
      <c r="W71" t="s">
        <v>2439</v>
      </c>
      <c r="X71" t="s">
        <v>3602</v>
      </c>
    </row>
    <row r="72" spans="1:24">
      <c r="A72">
        <f>HYPERLINK("https://www.philgeps.gov.ph/GEPSNONPILOT/Tender/SplashBidNoticeAbstractUI.aspx?menuIndex=3&amp;refID=7058565&amp;Result=3","7058565")</f>
        <v>0</v>
      </c>
      <c r="B72" t="s">
        <v>53</v>
      </c>
      <c r="C72" t="s">
        <v>400</v>
      </c>
      <c r="D72" t="s">
        <v>1004</v>
      </c>
      <c r="E72" t="s">
        <v>1131</v>
      </c>
      <c r="F72" t="s">
        <v>1712</v>
      </c>
      <c r="G72" t="s">
        <v>1716</v>
      </c>
      <c r="H72" t="s">
        <v>1722</v>
      </c>
      <c r="I72" t="s">
        <v>1751</v>
      </c>
      <c r="J72" t="s">
        <v>1868</v>
      </c>
      <c r="K72" t="s">
        <v>2366</v>
      </c>
      <c r="M72" t="s">
        <v>2442</v>
      </c>
      <c r="N72" t="s">
        <v>2727</v>
      </c>
      <c r="O72" t="s">
        <v>2728</v>
      </c>
      <c r="P72">
        <v>0</v>
      </c>
      <c r="Q72">
        <v>0</v>
      </c>
      <c r="R72" t="s">
        <v>2730</v>
      </c>
      <c r="S72" t="s">
        <v>2732</v>
      </c>
      <c r="T72" t="s">
        <v>2760</v>
      </c>
      <c r="U72" t="s">
        <v>2925</v>
      </c>
      <c r="W72" t="s">
        <v>2442</v>
      </c>
      <c r="X72" t="s">
        <v>3603</v>
      </c>
    </row>
    <row r="73" spans="1:24">
      <c r="A73">
        <f>HYPERLINK("https://www.philgeps.gov.ph/GEPSNONPILOT/Tender/SplashBidNoticeAbstractUI.aspx?menuIndex=3&amp;refID=7058260&amp;Result=3","7058260")</f>
        <v>0</v>
      </c>
      <c r="B73" t="s">
        <v>53</v>
      </c>
      <c r="C73" t="s">
        <v>401</v>
      </c>
      <c r="D73" t="s">
        <v>1004</v>
      </c>
      <c r="E73" t="s">
        <v>1132</v>
      </c>
      <c r="F73" t="s">
        <v>1712</v>
      </c>
      <c r="G73" t="s">
        <v>1716</v>
      </c>
      <c r="H73" t="s">
        <v>1723</v>
      </c>
      <c r="I73" t="s">
        <v>1729</v>
      </c>
      <c r="J73" t="s">
        <v>1869</v>
      </c>
      <c r="K73" t="s">
        <v>2375</v>
      </c>
      <c r="M73" t="s">
        <v>2442</v>
      </c>
      <c r="N73" t="s">
        <v>2727</v>
      </c>
      <c r="O73" t="s">
        <v>2728</v>
      </c>
      <c r="P73">
        <v>0</v>
      </c>
      <c r="Q73">
        <v>0</v>
      </c>
      <c r="R73" t="s">
        <v>2730</v>
      </c>
      <c r="S73" t="s">
        <v>2732</v>
      </c>
      <c r="T73" t="s">
        <v>2761</v>
      </c>
      <c r="U73" t="s">
        <v>2926</v>
      </c>
      <c r="W73" t="s">
        <v>2442</v>
      </c>
      <c r="X73" t="s">
        <v>3604</v>
      </c>
    </row>
    <row r="74" spans="1:24">
      <c r="A74">
        <f>HYPERLINK("https://www.philgeps.gov.ph/GEPSNONPILOT/Tender/SplashBidNoticeAbstractUI.aspx?menuIndex=3&amp;refID=7056105&amp;Result=3","7056105")</f>
        <v>0</v>
      </c>
      <c r="B74" t="s">
        <v>44</v>
      </c>
      <c r="C74" t="s">
        <v>402</v>
      </c>
      <c r="D74" t="s">
        <v>1007</v>
      </c>
      <c r="E74" t="s">
        <v>1133</v>
      </c>
      <c r="F74" t="s">
        <v>1712</v>
      </c>
      <c r="G74" t="s">
        <v>1716</v>
      </c>
      <c r="H74" t="s">
        <v>1723</v>
      </c>
      <c r="I74" t="s">
        <v>1729</v>
      </c>
      <c r="J74" t="s">
        <v>1870</v>
      </c>
      <c r="K74" t="s">
        <v>2362</v>
      </c>
      <c r="M74" t="s">
        <v>2433</v>
      </c>
      <c r="N74" t="s">
        <v>2727</v>
      </c>
      <c r="O74" t="s">
        <v>2728</v>
      </c>
      <c r="P74">
        <v>0</v>
      </c>
      <c r="Q74">
        <v>0</v>
      </c>
      <c r="R74" t="s">
        <v>2730</v>
      </c>
      <c r="S74" t="s">
        <v>2732</v>
      </c>
      <c r="T74" t="s">
        <v>2762</v>
      </c>
      <c r="U74" t="s">
        <v>2927</v>
      </c>
      <c r="W74" t="s">
        <v>2433</v>
      </c>
      <c r="X74" t="s">
        <v>3602</v>
      </c>
    </row>
    <row r="75" spans="1:24">
      <c r="A75">
        <f>HYPERLINK("https://www.philgeps.gov.ph/GEPSNONPILOT/Tender/SplashBidNoticeAbstractUI.aspx?menuIndex=3&amp;refID=7056935&amp;Result=3","7056935")</f>
        <v>0</v>
      </c>
      <c r="B75" t="s">
        <v>54</v>
      </c>
      <c r="C75" t="s">
        <v>403</v>
      </c>
      <c r="D75" t="s">
        <v>1008</v>
      </c>
      <c r="E75" t="s">
        <v>1134</v>
      </c>
      <c r="F75" t="s">
        <v>1712</v>
      </c>
      <c r="G75" t="s">
        <v>1716</v>
      </c>
      <c r="H75" t="s">
        <v>1722</v>
      </c>
      <c r="I75" t="s">
        <v>1728</v>
      </c>
      <c r="J75" t="s">
        <v>1820</v>
      </c>
      <c r="K75" t="s">
        <v>2371</v>
      </c>
      <c r="M75" t="s">
        <v>2443</v>
      </c>
      <c r="N75" t="s">
        <v>2727</v>
      </c>
      <c r="O75" t="s">
        <v>2728</v>
      </c>
      <c r="P75">
        <v>0</v>
      </c>
      <c r="Q75">
        <v>0</v>
      </c>
      <c r="R75" t="s">
        <v>2730</v>
      </c>
      <c r="S75" t="s">
        <v>2732</v>
      </c>
      <c r="T75" t="s">
        <v>2738</v>
      </c>
      <c r="U75" t="s">
        <v>2928</v>
      </c>
      <c r="V75" t="s">
        <v>3486</v>
      </c>
      <c r="W75" t="s">
        <v>2443</v>
      </c>
      <c r="X75" t="s">
        <v>3602</v>
      </c>
    </row>
    <row r="76" spans="1:24">
      <c r="A76">
        <f>HYPERLINK("https://www.philgeps.gov.ph/GEPSNONPILOT/Tender/SplashBidNoticeAbstractUI.aspx?menuIndex=3&amp;refID=7058525&amp;Result=3","7058525")</f>
        <v>0</v>
      </c>
      <c r="B76" t="s">
        <v>55</v>
      </c>
      <c r="C76" t="s">
        <v>404</v>
      </c>
      <c r="E76" t="s">
        <v>1064</v>
      </c>
      <c r="F76" t="s">
        <v>1712</v>
      </c>
      <c r="G76" t="s">
        <v>1717</v>
      </c>
      <c r="H76" t="s">
        <v>1722</v>
      </c>
      <c r="I76" t="s">
        <v>1752</v>
      </c>
      <c r="J76" t="s">
        <v>1871</v>
      </c>
      <c r="K76" t="s">
        <v>2367</v>
      </c>
      <c r="M76" t="s">
        <v>2444</v>
      </c>
      <c r="N76" t="s">
        <v>2727</v>
      </c>
      <c r="O76" t="s">
        <v>2728</v>
      </c>
      <c r="P76">
        <v>0</v>
      </c>
      <c r="Q76">
        <v>0</v>
      </c>
      <c r="R76" t="s">
        <v>2730</v>
      </c>
      <c r="S76" t="s">
        <v>2732</v>
      </c>
      <c r="T76" t="s">
        <v>2746</v>
      </c>
      <c r="U76" t="s">
        <v>2929</v>
      </c>
      <c r="W76" t="s">
        <v>2444</v>
      </c>
      <c r="X76" t="s">
        <v>3603</v>
      </c>
    </row>
    <row r="77" spans="1:24">
      <c r="A77">
        <f>HYPERLINK("https://www.philgeps.gov.ph/GEPSNONPILOT/Tender/SplashBidNoticeAbstractUI.aspx?menuIndex=3&amp;refID=7056772&amp;Result=3","7056772")</f>
        <v>0</v>
      </c>
      <c r="B77" t="s">
        <v>50</v>
      </c>
      <c r="C77" t="s">
        <v>405</v>
      </c>
      <c r="D77" t="s">
        <v>1010</v>
      </c>
      <c r="E77" t="s">
        <v>1135</v>
      </c>
      <c r="F77" t="s">
        <v>1712</v>
      </c>
      <c r="G77" t="s">
        <v>1716</v>
      </c>
      <c r="H77" t="s">
        <v>1723</v>
      </c>
      <c r="I77" t="s">
        <v>1729</v>
      </c>
      <c r="J77" t="s">
        <v>1872</v>
      </c>
      <c r="K77" t="s">
        <v>2365</v>
      </c>
      <c r="M77" t="s">
        <v>2439</v>
      </c>
      <c r="N77" t="s">
        <v>2727</v>
      </c>
      <c r="O77" t="s">
        <v>2728</v>
      </c>
      <c r="P77">
        <v>0</v>
      </c>
      <c r="Q77">
        <v>0</v>
      </c>
      <c r="R77" t="s">
        <v>2730</v>
      </c>
      <c r="S77" t="s">
        <v>2732</v>
      </c>
      <c r="T77" t="s">
        <v>2757</v>
      </c>
      <c r="U77" t="s">
        <v>2930</v>
      </c>
      <c r="W77" t="s">
        <v>2439</v>
      </c>
      <c r="X77" t="s">
        <v>3602</v>
      </c>
    </row>
    <row r="78" spans="1:24">
      <c r="A78">
        <f>HYPERLINK("https://www.philgeps.gov.ph/GEPSNONPILOT/Tender/SplashBidNoticeAbstractUI.aspx?menuIndex=3&amp;refID=7057394&amp;Result=3","7057394")</f>
        <v>0</v>
      </c>
      <c r="B78" t="s">
        <v>56</v>
      </c>
      <c r="C78" t="s">
        <v>406</v>
      </c>
      <c r="D78" t="s">
        <v>1013</v>
      </c>
      <c r="E78" t="s">
        <v>1136</v>
      </c>
      <c r="F78" t="s">
        <v>1712</v>
      </c>
      <c r="G78" t="s">
        <v>1717</v>
      </c>
      <c r="H78" t="s">
        <v>1722</v>
      </c>
      <c r="I78" t="s">
        <v>1737</v>
      </c>
      <c r="J78" t="s">
        <v>1873</v>
      </c>
      <c r="K78" t="s">
        <v>2367</v>
      </c>
      <c r="M78" t="s">
        <v>2445</v>
      </c>
      <c r="N78" t="s">
        <v>2727</v>
      </c>
      <c r="O78" t="s">
        <v>2728</v>
      </c>
      <c r="P78">
        <v>0</v>
      </c>
      <c r="Q78">
        <v>0</v>
      </c>
      <c r="R78" t="s">
        <v>2730</v>
      </c>
      <c r="S78" t="s">
        <v>2732</v>
      </c>
      <c r="T78" t="s">
        <v>2763</v>
      </c>
      <c r="U78" t="s">
        <v>2931</v>
      </c>
      <c r="V78" t="s">
        <v>3487</v>
      </c>
      <c r="W78" t="s">
        <v>2445</v>
      </c>
      <c r="X78" t="s">
        <v>3602</v>
      </c>
    </row>
    <row r="79" spans="1:24">
      <c r="A79">
        <f>HYPERLINK("https://www.philgeps.gov.ph/GEPSNONPILOT/Tender/SplashBidNoticeAbstractUI.aspx?menuIndex=3&amp;refID=7056696&amp;Result=3","7056696")</f>
        <v>0</v>
      </c>
      <c r="B79" t="s">
        <v>45</v>
      </c>
      <c r="C79" t="s">
        <v>407</v>
      </c>
      <c r="D79" t="s">
        <v>1008</v>
      </c>
      <c r="E79" t="s">
        <v>1137</v>
      </c>
      <c r="F79" t="s">
        <v>1712</v>
      </c>
      <c r="G79" t="s">
        <v>1716</v>
      </c>
      <c r="H79" t="s">
        <v>1722</v>
      </c>
      <c r="I79" t="s">
        <v>1752</v>
      </c>
      <c r="J79" t="s">
        <v>1863</v>
      </c>
      <c r="K79" t="s">
        <v>2358</v>
      </c>
      <c r="M79" t="s">
        <v>2434</v>
      </c>
      <c r="N79" t="s">
        <v>2727</v>
      </c>
      <c r="O79" t="s">
        <v>2728</v>
      </c>
      <c r="P79">
        <v>0</v>
      </c>
      <c r="Q79">
        <v>0</v>
      </c>
      <c r="R79" t="s">
        <v>2730</v>
      </c>
      <c r="S79" t="s">
        <v>2732</v>
      </c>
      <c r="T79" t="s">
        <v>2753</v>
      </c>
      <c r="U79" t="s">
        <v>2932</v>
      </c>
      <c r="W79" t="s">
        <v>2434</v>
      </c>
      <c r="X79" t="s">
        <v>3602</v>
      </c>
    </row>
    <row r="80" spans="1:24">
      <c r="A80">
        <f>HYPERLINK("https://www.philgeps.gov.ph/GEPSNONPILOT/Tender/SplashBidNoticeAbstractUI.aspx?menuIndex=3&amp;refID=7056983&amp;Result=3","7056983")</f>
        <v>0</v>
      </c>
      <c r="B80" t="s">
        <v>54</v>
      </c>
      <c r="C80" t="s">
        <v>408</v>
      </c>
      <c r="D80" t="s">
        <v>1008</v>
      </c>
      <c r="E80" t="s">
        <v>1138</v>
      </c>
      <c r="F80" t="s">
        <v>1712</v>
      </c>
      <c r="G80" t="s">
        <v>1717</v>
      </c>
      <c r="H80" t="s">
        <v>1722</v>
      </c>
      <c r="I80" t="s">
        <v>1753</v>
      </c>
      <c r="J80" t="s">
        <v>1874</v>
      </c>
      <c r="K80" t="s">
        <v>2371</v>
      </c>
      <c r="M80" t="s">
        <v>2443</v>
      </c>
      <c r="N80" t="s">
        <v>2727</v>
      </c>
      <c r="O80" t="s">
        <v>2728</v>
      </c>
      <c r="P80">
        <v>0</v>
      </c>
      <c r="Q80">
        <v>0</v>
      </c>
      <c r="R80" t="s">
        <v>2730</v>
      </c>
      <c r="S80" t="s">
        <v>2732</v>
      </c>
      <c r="T80" t="s">
        <v>2764</v>
      </c>
      <c r="U80" t="s">
        <v>2933</v>
      </c>
      <c r="V80" t="s">
        <v>3486</v>
      </c>
      <c r="W80" t="s">
        <v>2443</v>
      </c>
      <c r="X80" t="s">
        <v>3602</v>
      </c>
    </row>
    <row r="81" spans="1:24">
      <c r="A81">
        <f>HYPERLINK("https://www.philgeps.gov.ph/GEPSNONPILOT/Tender/SplashBidNoticeAbstractUI.aspx?menuIndex=3&amp;refID=7056756&amp;Result=3","7056756")</f>
        <v>0</v>
      </c>
      <c r="B81" t="s">
        <v>54</v>
      </c>
      <c r="C81" t="s">
        <v>409</v>
      </c>
      <c r="D81" t="s">
        <v>1008</v>
      </c>
      <c r="E81" t="s">
        <v>1134</v>
      </c>
      <c r="F81" t="s">
        <v>1712</v>
      </c>
      <c r="G81" t="s">
        <v>1717</v>
      </c>
      <c r="H81" t="s">
        <v>1722</v>
      </c>
      <c r="I81" t="s">
        <v>1754</v>
      </c>
      <c r="J81" t="s">
        <v>1875</v>
      </c>
      <c r="K81" t="s">
        <v>2371</v>
      </c>
      <c r="M81" t="s">
        <v>2443</v>
      </c>
      <c r="N81" t="s">
        <v>2727</v>
      </c>
      <c r="O81" t="s">
        <v>2728</v>
      </c>
      <c r="P81">
        <v>0</v>
      </c>
      <c r="Q81">
        <v>0</v>
      </c>
      <c r="R81" t="s">
        <v>2730</v>
      </c>
      <c r="S81" t="s">
        <v>2732</v>
      </c>
      <c r="T81" t="s">
        <v>2764</v>
      </c>
      <c r="U81" t="s">
        <v>2933</v>
      </c>
      <c r="V81" t="s">
        <v>3486</v>
      </c>
      <c r="W81" t="s">
        <v>2443</v>
      </c>
      <c r="X81" t="s">
        <v>3602</v>
      </c>
    </row>
    <row r="82" spans="1:24">
      <c r="A82">
        <f>HYPERLINK("https://www.philgeps.gov.ph/GEPSNONPILOT/Tender/SplashBidNoticeAbstractUI.aspx?menuIndex=3&amp;refID=7058909&amp;Result=3","7058909")</f>
        <v>0</v>
      </c>
      <c r="B82" t="s">
        <v>57</v>
      </c>
      <c r="C82" t="s">
        <v>410</v>
      </c>
      <c r="D82" t="s">
        <v>1014</v>
      </c>
      <c r="E82" t="s">
        <v>1139</v>
      </c>
      <c r="F82" t="s">
        <v>1712</v>
      </c>
      <c r="G82" t="s">
        <v>1716</v>
      </c>
      <c r="H82" t="s">
        <v>1722</v>
      </c>
      <c r="I82" t="s">
        <v>1734</v>
      </c>
      <c r="J82" t="s">
        <v>1876</v>
      </c>
      <c r="K82" t="s">
        <v>2365</v>
      </c>
      <c r="M82" t="s">
        <v>2446</v>
      </c>
      <c r="N82" t="s">
        <v>2727</v>
      </c>
      <c r="O82" t="s">
        <v>2728</v>
      </c>
      <c r="P82">
        <v>0</v>
      </c>
      <c r="Q82">
        <v>0</v>
      </c>
      <c r="R82" t="s">
        <v>2730</v>
      </c>
      <c r="S82" t="s">
        <v>2732</v>
      </c>
      <c r="T82" t="s">
        <v>2765</v>
      </c>
      <c r="U82" t="s">
        <v>2934</v>
      </c>
      <c r="W82" t="s">
        <v>2446</v>
      </c>
      <c r="X82" t="s">
        <v>3603</v>
      </c>
    </row>
    <row r="83" spans="1:24">
      <c r="A83">
        <f>HYPERLINK("https://www.philgeps.gov.ph/GEPSNONPILOT/Tender/SplashBidNoticeAbstractUI.aspx?menuIndex=3&amp;refID=7058906&amp;Result=3","7058906")</f>
        <v>0</v>
      </c>
      <c r="B83" t="s">
        <v>57</v>
      </c>
      <c r="C83" t="s">
        <v>411</v>
      </c>
      <c r="D83" t="s">
        <v>1014</v>
      </c>
      <c r="E83" t="s">
        <v>1140</v>
      </c>
      <c r="F83" t="s">
        <v>1712</v>
      </c>
      <c r="G83" t="s">
        <v>1716</v>
      </c>
      <c r="H83" t="s">
        <v>1722</v>
      </c>
      <c r="I83" t="s">
        <v>1734</v>
      </c>
      <c r="J83" t="s">
        <v>1877</v>
      </c>
      <c r="K83" t="s">
        <v>2366</v>
      </c>
      <c r="M83" t="s">
        <v>2446</v>
      </c>
      <c r="N83" t="s">
        <v>2727</v>
      </c>
      <c r="O83" t="s">
        <v>2728</v>
      </c>
      <c r="P83">
        <v>0</v>
      </c>
      <c r="Q83">
        <v>0</v>
      </c>
      <c r="R83" t="s">
        <v>2730</v>
      </c>
      <c r="S83" t="s">
        <v>2732</v>
      </c>
      <c r="T83" t="s">
        <v>2757</v>
      </c>
      <c r="U83" t="s">
        <v>2935</v>
      </c>
      <c r="W83" t="s">
        <v>2446</v>
      </c>
      <c r="X83" t="s">
        <v>3603</v>
      </c>
    </row>
    <row r="84" spans="1:24">
      <c r="A84">
        <f>HYPERLINK("https://www.philgeps.gov.ph/GEPSNONPILOT/Tender/SplashBidNoticeAbstractUI.aspx?menuIndex=3&amp;refID=7059610&amp;Result=3","7059610")</f>
        <v>0</v>
      </c>
      <c r="B84" t="s">
        <v>41</v>
      </c>
      <c r="C84" t="s">
        <v>412</v>
      </c>
      <c r="D84" t="s">
        <v>1006</v>
      </c>
      <c r="E84" t="s">
        <v>1141</v>
      </c>
      <c r="F84" t="s">
        <v>1712</v>
      </c>
      <c r="G84" t="s">
        <v>1716</v>
      </c>
      <c r="H84" t="s">
        <v>1722</v>
      </c>
      <c r="I84" t="s">
        <v>1727</v>
      </c>
      <c r="J84" t="s">
        <v>1878</v>
      </c>
      <c r="K84" t="s">
        <v>2366</v>
      </c>
      <c r="M84" t="s">
        <v>2430</v>
      </c>
      <c r="N84" t="s">
        <v>2727</v>
      </c>
      <c r="O84" t="s">
        <v>2728</v>
      </c>
      <c r="P84">
        <v>0</v>
      </c>
      <c r="Q84">
        <v>0</v>
      </c>
      <c r="R84" t="s">
        <v>2730</v>
      </c>
      <c r="S84" t="s">
        <v>2732</v>
      </c>
      <c r="T84" t="s">
        <v>2740</v>
      </c>
      <c r="U84" t="s">
        <v>2936</v>
      </c>
      <c r="W84" t="s">
        <v>2430</v>
      </c>
      <c r="X84" t="s">
        <v>3605</v>
      </c>
    </row>
    <row r="85" spans="1:24">
      <c r="A85">
        <f>HYPERLINK("https://www.philgeps.gov.ph/GEPSNONPILOT/Tender/SplashBidNoticeAbstractUI.aspx?menuIndex=3&amp;refID=7059398&amp;Result=3","7059398")</f>
        <v>0</v>
      </c>
      <c r="B85" t="s">
        <v>58</v>
      </c>
      <c r="C85" t="s">
        <v>413</v>
      </c>
      <c r="D85" t="s">
        <v>1002</v>
      </c>
      <c r="E85" t="s">
        <v>1142</v>
      </c>
      <c r="F85" t="s">
        <v>1712</v>
      </c>
      <c r="G85" t="s">
        <v>1716</v>
      </c>
      <c r="H85" t="s">
        <v>1722</v>
      </c>
      <c r="I85" t="s">
        <v>1755</v>
      </c>
      <c r="J85" t="s">
        <v>1879</v>
      </c>
      <c r="K85" t="s">
        <v>2376</v>
      </c>
      <c r="M85" t="s">
        <v>2447</v>
      </c>
      <c r="N85" t="s">
        <v>2727</v>
      </c>
      <c r="O85" t="s">
        <v>2728</v>
      </c>
      <c r="P85">
        <v>0</v>
      </c>
      <c r="Q85">
        <v>0</v>
      </c>
      <c r="R85" t="s">
        <v>2730</v>
      </c>
      <c r="S85" t="s">
        <v>2732</v>
      </c>
      <c r="T85" t="s">
        <v>2752</v>
      </c>
      <c r="U85" t="s">
        <v>2937</v>
      </c>
      <c r="W85" t="s">
        <v>2447</v>
      </c>
      <c r="X85" t="s">
        <v>3605</v>
      </c>
    </row>
    <row r="86" spans="1:24">
      <c r="A86">
        <f>HYPERLINK("https://www.philgeps.gov.ph/GEPSNONPILOT/Tender/SplashBidNoticeAbstractUI.aspx?menuIndex=3&amp;refID=7059224&amp;Result=3","7059224")</f>
        <v>0</v>
      </c>
      <c r="B86" t="s">
        <v>50</v>
      </c>
      <c r="C86" t="s">
        <v>414</v>
      </c>
      <c r="D86" t="s">
        <v>1010</v>
      </c>
      <c r="E86" t="s">
        <v>1143</v>
      </c>
      <c r="F86" t="s">
        <v>1712</v>
      </c>
      <c r="G86" t="s">
        <v>1716</v>
      </c>
      <c r="H86" t="s">
        <v>1722</v>
      </c>
      <c r="I86" t="s">
        <v>1745</v>
      </c>
      <c r="J86" t="s">
        <v>1880</v>
      </c>
      <c r="K86" t="s">
        <v>2367</v>
      </c>
      <c r="M86" t="s">
        <v>2439</v>
      </c>
      <c r="N86" t="s">
        <v>2727</v>
      </c>
      <c r="O86" t="s">
        <v>2728</v>
      </c>
      <c r="P86">
        <v>0</v>
      </c>
      <c r="Q86">
        <v>0</v>
      </c>
      <c r="R86" t="s">
        <v>2730</v>
      </c>
      <c r="S86" t="s">
        <v>2732</v>
      </c>
      <c r="T86" t="s">
        <v>2757</v>
      </c>
      <c r="U86" t="s">
        <v>2938</v>
      </c>
      <c r="W86" t="s">
        <v>2439</v>
      </c>
      <c r="X86" t="s">
        <v>3605</v>
      </c>
    </row>
    <row r="87" spans="1:24">
      <c r="A87">
        <f>HYPERLINK("https://www.philgeps.gov.ph/GEPSNONPILOT/Tender/SplashBidNoticeAbstractUI.aspx?menuIndex=3&amp;refID=7059368&amp;Result=3","7059368")</f>
        <v>0</v>
      </c>
      <c r="B87" t="s">
        <v>41</v>
      </c>
      <c r="C87" t="s">
        <v>415</v>
      </c>
      <c r="D87" t="s">
        <v>1006</v>
      </c>
      <c r="E87" t="s">
        <v>1144</v>
      </c>
      <c r="F87" t="s">
        <v>1712</v>
      </c>
      <c r="G87" t="s">
        <v>1716</v>
      </c>
      <c r="H87" t="s">
        <v>1722</v>
      </c>
      <c r="I87" t="s">
        <v>1756</v>
      </c>
      <c r="J87" t="s">
        <v>1881</v>
      </c>
      <c r="K87" t="s">
        <v>2371</v>
      </c>
      <c r="M87" t="s">
        <v>2430</v>
      </c>
      <c r="N87" t="s">
        <v>2727</v>
      </c>
      <c r="O87" t="s">
        <v>2728</v>
      </c>
      <c r="P87">
        <v>0</v>
      </c>
      <c r="Q87">
        <v>0</v>
      </c>
      <c r="R87" t="s">
        <v>2730</v>
      </c>
      <c r="S87" t="s">
        <v>2732</v>
      </c>
      <c r="T87" t="s">
        <v>2740</v>
      </c>
      <c r="U87" t="s">
        <v>2939</v>
      </c>
      <c r="W87" t="s">
        <v>2430</v>
      </c>
      <c r="X87" t="s">
        <v>3605</v>
      </c>
    </row>
    <row r="88" spans="1:24">
      <c r="A88">
        <f>HYPERLINK("https://www.philgeps.gov.ph/GEPSNONPILOT/Tender/SplashBidNoticeAbstractUI.aspx?menuIndex=3&amp;refID=7059532&amp;Result=3","7059532")</f>
        <v>0</v>
      </c>
      <c r="B88" t="s">
        <v>41</v>
      </c>
      <c r="C88" t="s">
        <v>416</v>
      </c>
      <c r="D88" t="s">
        <v>1006</v>
      </c>
      <c r="E88" t="s">
        <v>1145</v>
      </c>
      <c r="F88" t="s">
        <v>1712</v>
      </c>
      <c r="G88" t="s">
        <v>1716</v>
      </c>
      <c r="H88" t="s">
        <v>1722</v>
      </c>
      <c r="I88" t="s">
        <v>1728</v>
      </c>
      <c r="J88" t="s">
        <v>1882</v>
      </c>
      <c r="K88" t="s">
        <v>2371</v>
      </c>
      <c r="M88" t="s">
        <v>2430</v>
      </c>
      <c r="N88" t="s">
        <v>2727</v>
      </c>
      <c r="O88" t="s">
        <v>2728</v>
      </c>
      <c r="P88">
        <v>0</v>
      </c>
      <c r="Q88">
        <v>0</v>
      </c>
      <c r="R88" t="s">
        <v>2730</v>
      </c>
      <c r="S88" t="s">
        <v>2732</v>
      </c>
      <c r="T88" t="s">
        <v>2740</v>
      </c>
      <c r="U88" t="s">
        <v>2940</v>
      </c>
      <c r="W88" t="s">
        <v>2430</v>
      </c>
      <c r="X88" t="s">
        <v>3605</v>
      </c>
    </row>
    <row r="89" spans="1:24">
      <c r="A89">
        <f>HYPERLINK("https://www.philgeps.gov.ph/GEPSNONPILOT/Tender/SplashBidNoticeAbstractUI.aspx?menuIndex=3&amp;refID=7059040&amp;Result=3","7059040")</f>
        <v>0</v>
      </c>
      <c r="B89" t="s">
        <v>59</v>
      </c>
      <c r="C89" t="s">
        <v>417</v>
      </c>
      <c r="D89" t="s">
        <v>1015</v>
      </c>
      <c r="E89" t="s">
        <v>1146</v>
      </c>
      <c r="F89" t="s">
        <v>1713</v>
      </c>
      <c r="G89" t="s">
        <v>1720</v>
      </c>
      <c r="H89" t="s">
        <v>1722</v>
      </c>
      <c r="I89" t="s">
        <v>1752</v>
      </c>
      <c r="J89" t="s">
        <v>1883</v>
      </c>
      <c r="K89" t="s">
        <v>2367</v>
      </c>
      <c r="M89" t="s">
        <v>2448</v>
      </c>
      <c r="N89" t="s">
        <v>2727</v>
      </c>
      <c r="O89" t="s">
        <v>2728</v>
      </c>
      <c r="P89">
        <v>0</v>
      </c>
      <c r="Q89">
        <v>0</v>
      </c>
      <c r="R89" t="s">
        <v>2730</v>
      </c>
      <c r="S89" t="s">
        <v>2732</v>
      </c>
      <c r="T89" t="s">
        <v>2766</v>
      </c>
      <c r="U89" t="s">
        <v>2941</v>
      </c>
      <c r="W89" t="s">
        <v>2448</v>
      </c>
      <c r="X89" t="s">
        <v>3605</v>
      </c>
    </row>
    <row r="90" spans="1:24">
      <c r="A90">
        <f>HYPERLINK("https://www.philgeps.gov.ph/GEPSNONPILOT/Tender/SplashBidNoticeAbstractUI.aspx?menuIndex=3&amp;refID=7059320&amp;Result=3","7059320")</f>
        <v>0</v>
      </c>
      <c r="B90" t="s">
        <v>50</v>
      </c>
      <c r="C90" t="s">
        <v>418</v>
      </c>
      <c r="D90" t="s">
        <v>1010</v>
      </c>
      <c r="E90" t="s">
        <v>1147</v>
      </c>
      <c r="F90" t="s">
        <v>1712</v>
      </c>
      <c r="G90" t="s">
        <v>1716</v>
      </c>
      <c r="H90" t="s">
        <v>1722</v>
      </c>
      <c r="I90" t="s">
        <v>1740</v>
      </c>
      <c r="J90" t="s">
        <v>1884</v>
      </c>
      <c r="K90" t="s">
        <v>2371</v>
      </c>
      <c r="M90" t="s">
        <v>2439</v>
      </c>
      <c r="N90" t="s">
        <v>2727</v>
      </c>
      <c r="O90" t="s">
        <v>2728</v>
      </c>
      <c r="P90">
        <v>0</v>
      </c>
      <c r="Q90">
        <v>0</v>
      </c>
      <c r="R90" t="s">
        <v>2730</v>
      </c>
      <c r="S90" t="s">
        <v>2732</v>
      </c>
      <c r="T90" t="s">
        <v>2757</v>
      </c>
      <c r="U90" t="s">
        <v>2942</v>
      </c>
      <c r="W90" t="s">
        <v>2439</v>
      </c>
      <c r="X90" t="s">
        <v>3605</v>
      </c>
    </row>
    <row r="91" spans="1:24">
      <c r="A91">
        <f>HYPERLINK("https://www.philgeps.gov.ph/GEPSNONPILOT/Tender/SplashBidNoticeAbstractUI.aspx?menuIndex=3&amp;refID=7059750&amp;Result=3","7059750")</f>
        <v>0</v>
      </c>
      <c r="B91" t="s">
        <v>60</v>
      </c>
      <c r="C91" t="s">
        <v>419</v>
      </c>
      <c r="D91" t="s">
        <v>1001</v>
      </c>
      <c r="E91" t="s">
        <v>1148</v>
      </c>
      <c r="F91" t="s">
        <v>1712</v>
      </c>
      <c r="G91" t="s">
        <v>1716</v>
      </c>
      <c r="H91" t="s">
        <v>1722</v>
      </c>
      <c r="I91" t="s">
        <v>1757</v>
      </c>
      <c r="J91" t="s">
        <v>1885</v>
      </c>
      <c r="K91" t="s">
        <v>2359</v>
      </c>
      <c r="M91" t="s">
        <v>2449</v>
      </c>
      <c r="N91" t="s">
        <v>2727</v>
      </c>
      <c r="O91" t="s">
        <v>2728</v>
      </c>
      <c r="P91">
        <v>0</v>
      </c>
      <c r="Q91">
        <v>0</v>
      </c>
      <c r="R91" t="s">
        <v>2730</v>
      </c>
      <c r="S91" t="s">
        <v>2732</v>
      </c>
      <c r="T91" t="s">
        <v>2767</v>
      </c>
      <c r="U91" t="s">
        <v>2943</v>
      </c>
      <c r="W91" t="s">
        <v>2449</v>
      </c>
      <c r="X91" t="s">
        <v>3605</v>
      </c>
    </row>
    <row r="92" spans="1:24">
      <c r="A92">
        <f>HYPERLINK("https://www.philgeps.gov.ph/GEPSNONPILOT/Tender/SplashBidNoticeAbstractUI.aspx?menuIndex=3&amp;refID=7059522&amp;Result=3","7059522")</f>
        <v>0</v>
      </c>
      <c r="B92" t="s">
        <v>50</v>
      </c>
      <c r="C92" t="s">
        <v>420</v>
      </c>
      <c r="D92" t="s">
        <v>1010</v>
      </c>
      <c r="E92" t="s">
        <v>1149</v>
      </c>
      <c r="F92" t="s">
        <v>1712</v>
      </c>
      <c r="G92" t="s">
        <v>1716</v>
      </c>
      <c r="H92" t="s">
        <v>1722</v>
      </c>
      <c r="I92" t="s">
        <v>1734</v>
      </c>
      <c r="J92" t="s">
        <v>1886</v>
      </c>
      <c r="K92" t="s">
        <v>2367</v>
      </c>
      <c r="M92" t="s">
        <v>2439</v>
      </c>
      <c r="N92" t="s">
        <v>2727</v>
      </c>
      <c r="O92" t="s">
        <v>2728</v>
      </c>
      <c r="P92">
        <v>0</v>
      </c>
      <c r="Q92">
        <v>0</v>
      </c>
      <c r="R92" t="s">
        <v>2730</v>
      </c>
      <c r="S92" t="s">
        <v>2732</v>
      </c>
      <c r="T92" t="s">
        <v>2757</v>
      </c>
      <c r="U92" t="s">
        <v>2944</v>
      </c>
      <c r="W92" t="s">
        <v>2439</v>
      </c>
      <c r="X92" t="s">
        <v>3605</v>
      </c>
    </row>
    <row r="93" spans="1:24">
      <c r="A93">
        <f>HYPERLINK("https://www.philgeps.gov.ph/GEPSNONPILOT/Tender/SplashBidNoticeAbstractUI.aspx?menuIndex=3&amp;refID=7058933&amp;Result=3","7058933")</f>
        <v>0</v>
      </c>
      <c r="B93" t="s">
        <v>60</v>
      </c>
      <c r="C93" t="s">
        <v>421</v>
      </c>
      <c r="D93" t="s">
        <v>1001</v>
      </c>
      <c r="E93" t="s">
        <v>1148</v>
      </c>
      <c r="F93" t="s">
        <v>1712</v>
      </c>
      <c r="G93" t="s">
        <v>1716</v>
      </c>
      <c r="H93" t="s">
        <v>1722</v>
      </c>
      <c r="I93" t="s">
        <v>1757</v>
      </c>
      <c r="J93" t="s">
        <v>1887</v>
      </c>
      <c r="K93" t="s">
        <v>2359</v>
      </c>
      <c r="M93" t="s">
        <v>2449</v>
      </c>
      <c r="N93" t="s">
        <v>2727</v>
      </c>
      <c r="O93" t="s">
        <v>2728</v>
      </c>
      <c r="P93">
        <v>0</v>
      </c>
      <c r="Q93">
        <v>0</v>
      </c>
      <c r="R93" t="s">
        <v>2730</v>
      </c>
      <c r="S93" t="s">
        <v>2732</v>
      </c>
      <c r="T93" t="s">
        <v>2768</v>
      </c>
      <c r="U93" t="s">
        <v>2945</v>
      </c>
      <c r="W93" t="s">
        <v>2449</v>
      </c>
      <c r="X93" t="s">
        <v>3603</v>
      </c>
    </row>
    <row r="94" spans="1:24">
      <c r="A94">
        <f>HYPERLINK("https://www.philgeps.gov.ph/GEPSNONPILOT/Tender/SplashBidNoticeAbstractUI.aspx?menuIndex=3&amp;refID=7059741&amp;Result=3","7059741")</f>
        <v>0</v>
      </c>
      <c r="B94" t="s">
        <v>61</v>
      </c>
      <c r="C94" t="s">
        <v>422</v>
      </c>
      <c r="D94" t="s">
        <v>999</v>
      </c>
      <c r="E94" t="s">
        <v>1150</v>
      </c>
      <c r="F94" t="s">
        <v>1712</v>
      </c>
      <c r="G94" t="s">
        <v>1716</v>
      </c>
      <c r="H94" t="s">
        <v>1723</v>
      </c>
      <c r="I94" t="s">
        <v>1729</v>
      </c>
      <c r="J94" t="s">
        <v>1888</v>
      </c>
      <c r="K94" t="s">
        <v>2377</v>
      </c>
      <c r="M94" t="s">
        <v>2450</v>
      </c>
      <c r="N94" t="s">
        <v>2727</v>
      </c>
      <c r="O94" t="s">
        <v>2728</v>
      </c>
      <c r="P94">
        <v>0</v>
      </c>
      <c r="Q94">
        <v>0</v>
      </c>
      <c r="R94" t="s">
        <v>2730</v>
      </c>
      <c r="S94" t="s">
        <v>2732</v>
      </c>
      <c r="T94" t="s">
        <v>2769</v>
      </c>
      <c r="U94" t="s">
        <v>2946</v>
      </c>
      <c r="V94" t="s">
        <v>3488</v>
      </c>
      <c r="W94" t="s">
        <v>3575</v>
      </c>
      <c r="X94" t="s">
        <v>3605</v>
      </c>
    </row>
    <row r="95" spans="1:24">
      <c r="A95">
        <f>HYPERLINK("https://www.philgeps.gov.ph/GEPSNONPILOT/Tender/SplashBidNoticeAbstractUI.aspx?menuIndex=3&amp;refID=7059318&amp;Result=3","7059318")</f>
        <v>0</v>
      </c>
      <c r="B95" t="s">
        <v>62</v>
      </c>
      <c r="C95" t="s">
        <v>423</v>
      </c>
      <c r="D95" t="s">
        <v>1016</v>
      </c>
      <c r="E95" t="s">
        <v>1151</v>
      </c>
      <c r="F95" t="s">
        <v>1712</v>
      </c>
      <c r="G95" t="s">
        <v>1716</v>
      </c>
      <c r="H95" t="s">
        <v>1725</v>
      </c>
      <c r="I95" t="s">
        <v>1758</v>
      </c>
      <c r="J95" t="s">
        <v>1889</v>
      </c>
      <c r="K95" t="s">
        <v>2378</v>
      </c>
      <c r="M95" t="s">
        <v>2451</v>
      </c>
      <c r="N95" t="s">
        <v>2727</v>
      </c>
      <c r="O95" t="s">
        <v>2728</v>
      </c>
      <c r="P95">
        <v>0</v>
      </c>
      <c r="Q95">
        <v>0</v>
      </c>
      <c r="R95" t="s">
        <v>2730</v>
      </c>
      <c r="S95" t="s">
        <v>2732</v>
      </c>
      <c r="T95" t="s">
        <v>2770</v>
      </c>
      <c r="U95" t="s">
        <v>2947</v>
      </c>
      <c r="W95" t="s">
        <v>2451</v>
      </c>
      <c r="X95" t="s">
        <v>3605</v>
      </c>
    </row>
    <row r="96" spans="1:24">
      <c r="A96">
        <f>HYPERLINK("https://www.philgeps.gov.ph/GEPSNONPILOT/Tender/SplashBidNoticeAbstractUI.aspx?menuIndex=3&amp;refID=7059634&amp;Result=3","7059634")</f>
        <v>0</v>
      </c>
      <c r="B96" t="s">
        <v>60</v>
      </c>
      <c r="C96" t="s">
        <v>424</v>
      </c>
      <c r="D96" t="s">
        <v>1001</v>
      </c>
      <c r="E96" t="s">
        <v>1148</v>
      </c>
      <c r="F96" t="s">
        <v>1712</v>
      </c>
      <c r="G96" t="s">
        <v>1716</v>
      </c>
      <c r="H96" t="s">
        <v>1722</v>
      </c>
      <c r="I96" t="s">
        <v>1757</v>
      </c>
      <c r="J96" t="s">
        <v>1890</v>
      </c>
      <c r="K96" t="s">
        <v>2359</v>
      </c>
      <c r="M96" t="s">
        <v>2449</v>
      </c>
      <c r="N96" t="s">
        <v>2727</v>
      </c>
      <c r="O96" t="s">
        <v>2728</v>
      </c>
      <c r="P96">
        <v>0</v>
      </c>
      <c r="Q96">
        <v>0</v>
      </c>
      <c r="R96" t="s">
        <v>2730</v>
      </c>
      <c r="S96" t="s">
        <v>2732</v>
      </c>
      <c r="T96" t="s">
        <v>2767</v>
      </c>
      <c r="U96" t="s">
        <v>2948</v>
      </c>
      <c r="W96" t="s">
        <v>2449</v>
      </c>
      <c r="X96" t="s">
        <v>3605</v>
      </c>
    </row>
    <row r="97" spans="1:24">
      <c r="A97">
        <f>HYPERLINK("https://www.philgeps.gov.ph/GEPSNONPILOT/Tender/SplashBidNoticeAbstractUI.aspx?menuIndex=3&amp;refID=7059680&amp;Result=3","7059680")</f>
        <v>0</v>
      </c>
      <c r="B97" t="s">
        <v>43</v>
      </c>
      <c r="C97" t="s">
        <v>425</v>
      </c>
      <c r="E97" t="s">
        <v>1152</v>
      </c>
      <c r="F97" t="s">
        <v>1712</v>
      </c>
      <c r="G97" t="s">
        <v>1717</v>
      </c>
      <c r="H97" t="s">
        <v>1722</v>
      </c>
      <c r="I97" t="s">
        <v>1756</v>
      </c>
      <c r="J97" t="s">
        <v>1891</v>
      </c>
      <c r="K97" t="s">
        <v>2359</v>
      </c>
      <c r="M97" t="s">
        <v>2452</v>
      </c>
      <c r="N97" t="s">
        <v>2727</v>
      </c>
      <c r="O97" t="s">
        <v>2728</v>
      </c>
      <c r="P97">
        <v>0</v>
      </c>
      <c r="Q97">
        <v>0</v>
      </c>
      <c r="R97" t="s">
        <v>2730</v>
      </c>
      <c r="S97" t="s">
        <v>2732</v>
      </c>
      <c r="T97" t="s">
        <v>2753</v>
      </c>
      <c r="U97" t="s">
        <v>2949</v>
      </c>
      <c r="W97" t="s">
        <v>2452</v>
      </c>
      <c r="X97" t="s">
        <v>3605</v>
      </c>
    </row>
    <row r="98" spans="1:24">
      <c r="A98">
        <f>HYPERLINK("https://www.philgeps.gov.ph/GEPSNONPILOT/Tender/SplashBidNoticeAbstractUI.aspx?menuIndex=3&amp;refID=7059544&amp;Result=3","7059544")</f>
        <v>0</v>
      </c>
      <c r="B98" t="s">
        <v>63</v>
      </c>
      <c r="C98" t="s">
        <v>426</v>
      </c>
      <c r="D98" t="s">
        <v>1017</v>
      </c>
      <c r="E98" t="s">
        <v>1153</v>
      </c>
      <c r="F98" t="s">
        <v>1712</v>
      </c>
      <c r="G98" t="s">
        <v>1716</v>
      </c>
      <c r="H98" t="s">
        <v>1723</v>
      </c>
      <c r="I98" t="s">
        <v>1729</v>
      </c>
      <c r="J98" t="s">
        <v>1892</v>
      </c>
      <c r="K98" t="s">
        <v>2373</v>
      </c>
      <c r="L98" t="s">
        <v>63</v>
      </c>
      <c r="M98" t="s">
        <v>2453</v>
      </c>
      <c r="N98" t="s">
        <v>2727</v>
      </c>
      <c r="O98" t="s">
        <v>2728</v>
      </c>
      <c r="P98">
        <v>0</v>
      </c>
      <c r="Q98">
        <v>0</v>
      </c>
      <c r="R98" t="s">
        <v>2730</v>
      </c>
      <c r="S98" t="s">
        <v>2732</v>
      </c>
      <c r="T98" t="s">
        <v>2771</v>
      </c>
      <c r="U98" t="s">
        <v>2950</v>
      </c>
      <c r="V98" t="s">
        <v>3489</v>
      </c>
      <c r="W98" t="s">
        <v>2453</v>
      </c>
      <c r="X98" t="s">
        <v>3605</v>
      </c>
    </row>
    <row r="99" spans="1:24">
      <c r="A99">
        <f>HYPERLINK("https://www.philgeps.gov.ph/GEPSNONPILOT/Tender/SplashBidNoticeAbstractUI.aspx?menuIndex=3&amp;refID=7059700&amp;Result=3","7059700")</f>
        <v>0</v>
      </c>
      <c r="B99" t="s">
        <v>43</v>
      </c>
      <c r="C99" t="s">
        <v>427</v>
      </c>
      <c r="E99" t="s">
        <v>1154</v>
      </c>
      <c r="F99" t="s">
        <v>1712</v>
      </c>
      <c r="G99" t="s">
        <v>1717</v>
      </c>
      <c r="H99" t="s">
        <v>1722</v>
      </c>
      <c r="I99" t="s">
        <v>1759</v>
      </c>
      <c r="J99" t="s">
        <v>1893</v>
      </c>
      <c r="K99" t="s">
        <v>2366</v>
      </c>
      <c r="M99" t="s">
        <v>2452</v>
      </c>
      <c r="N99" t="s">
        <v>2727</v>
      </c>
      <c r="O99" t="s">
        <v>2728</v>
      </c>
      <c r="P99">
        <v>0</v>
      </c>
      <c r="Q99">
        <v>0</v>
      </c>
      <c r="R99" t="s">
        <v>2730</v>
      </c>
      <c r="S99" t="s">
        <v>2732</v>
      </c>
      <c r="T99" t="s">
        <v>2753</v>
      </c>
      <c r="U99" t="s">
        <v>2951</v>
      </c>
      <c r="W99" t="s">
        <v>2452</v>
      </c>
      <c r="X99" t="s">
        <v>3605</v>
      </c>
    </row>
    <row r="100" spans="1:24">
      <c r="A100">
        <f>HYPERLINK("https://www.philgeps.gov.ph/GEPSNONPILOT/Tender/SplashBidNoticeAbstractUI.aspx?menuIndex=3&amp;refID=7059675&amp;Result=3","7059675")</f>
        <v>0</v>
      </c>
      <c r="B100" t="s">
        <v>61</v>
      </c>
      <c r="C100" t="s">
        <v>428</v>
      </c>
      <c r="D100" t="s">
        <v>999</v>
      </c>
      <c r="E100" t="s">
        <v>1155</v>
      </c>
      <c r="F100" t="s">
        <v>1712</v>
      </c>
      <c r="G100" t="s">
        <v>1716</v>
      </c>
      <c r="H100" t="s">
        <v>1723</v>
      </c>
      <c r="I100" t="s">
        <v>1729</v>
      </c>
      <c r="J100" t="s">
        <v>1894</v>
      </c>
      <c r="K100" t="s">
        <v>2379</v>
      </c>
      <c r="M100" t="s">
        <v>2450</v>
      </c>
      <c r="N100" t="s">
        <v>2727</v>
      </c>
      <c r="O100" t="s">
        <v>2728</v>
      </c>
      <c r="P100">
        <v>0</v>
      </c>
      <c r="Q100">
        <v>0</v>
      </c>
      <c r="R100" t="s">
        <v>2730</v>
      </c>
      <c r="S100" t="s">
        <v>2732</v>
      </c>
      <c r="T100" t="s">
        <v>2769</v>
      </c>
      <c r="U100" t="s">
        <v>2952</v>
      </c>
      <c r="V100" t="s">
        <v>3488</v>
      </c>
      <c r="W100" t="s">
        <v>3575</v>
      </c>
      <c r="X100" t="s">
        <v>3605</v>
      </c>
    </row>
    <row r="101" spans="1:24">
      <c r="A101">
        <f>HYPERLINK("https://www.philgeps.gov.ph/GEPSNONPILOT/Tender/SplashBidNoticeAbstractUI.aspx?menuIndex=3&amp;refID=7059757&amp;Result=3","7059757")</f>
        <v>0</v>
      </c>
      <c r="B101" t="s">
        <v>64</v>
      </c>
      <c r="C101" t="s">
        <v>429</v>
      </c>
      <c r="D101" t="s">
        <v>1018</v>
      </c>
      <c r="E101" t="s">
        <v>1156</v>
      </c>
      <c r="F101" t="s">
        <v>1712</v>
      </c>
      <c r="G101" t="s">
        <v>1716</v>
      </c>
      <c r="H101" t="s">
        <v>1722</v>
      </c>
      <c r="I101" t="s">
        <v>1732</v>
      </c>
      <c r="J101" t="s">
        <v>1895</v>
      </c>
      <c r="K101" t="s">
        <v>2359</v>
      </c>
      <c r="M101" t="s">
        <v>2454</v>
      </c>
      <c r="N101" t="s">
        <v>2727</v>
      </c>
      <c r="O101" t="s">
        <v>2728</v>
      </c>
      <c r="P101">
        <v>0</v>
      </c>
      <c r="Q101">
        <v>0</v>
      </c>
      <c r="R101" t="s">
        <v>2730</v>
      </c>
      <c r="S101" t="s">
        <v>2732</v>
      </c>
      <c r="T101" t="s">
        <v>2761</v>
      </c>
      <c r="U101" t="s">
        <v>2953</v>
      </c>
      <c r="W101" t="s">
        <v>2454</v>
      </c>
      <c r="X101" t="s">
        <v>3605</v>
      </c>
    </row>
    <row r="102" spans="1:24">
      <c r="A102">
        <f>HYPERLINK("https://www.philgeps.gov.ph/GEPSNONPILOT/Tender/SplashBidNoticeAbstractUI.aspx?menuIndex=3&amp;refID=7059642&amp;Result=3","7059642")</f>
        <v>0</v>
      </c>
      <c r="B102" t="s">
        <v>63</v>
      </c>
      <c r="C102" t="s">
        <v>430</v>
      </c>
      <c r="D102" t="s">
        <v>1017</v>
      </c>
      <c r="E102" t="s">
        <v>1157</v>
      </c>
      <c r="F102" t="s">
        <v>1712</v>
      </c>
      <c r="G102" t="s">
        <v>1716</v>
      </c>
      <c r="H102" t="s">
        <v>1723</v>
      </c>
      <c r="I102" t="s">
        <v>1729</v>
      </c>
      <c r="J102" t="s">
        <v>1805</v>
      </c>
      <c r="K102" t="s">
        <v>2365</v>
      </c>
      <c r="L102" t="s">
        <v>63</v>
      </c>
      <c r="M102" t="s">
        <v>2453</v>
      </c>
      <c r="N102" t="s">
        <v>2727</v>
      </c>
      <c r="O102" t="s">
        <v>2728</v>
      </c>
      <c r="P102">
        <v>0</v>
      </c>
      <c r="Q102">
        <v>0</v>
      </c>
      <c r="R102" t="s">
        <v>2730</v>
      </c>
      <c r="S102" t="s">
        <v>2732</v>
      </c>
      <c r="T102" t="s">
        <v>2771</v>
      </c>
      <c r="U102" t="s">
        <v>2954</v>
      </c>
      <c r="V102" t="s">
        <v>3489</v>
      </c>
      <c r="W102" t="s">
        <v>2453</v>
      </c>
      <c r="X102" t="s">
        <v>3605</v>
      </c>
    </row>
    <row r="103" spans="1:24">
      <c r="A103">
        <f>HYPERLINK("https://www.philgeps.gov.ph/GEPSNONPILOT/Tender/SplashBidNoticeAbstractUI.aspx?menuIndex=3&amp;refID=7060044&amp;Result=3","7060044")</f>
        <v>0</v>
      </c>
      <c r="B103" t="s">
        <v>65</v>
      </c>
      <c r="C103" t="s">
        <v>431</v>
      </c>
      <c r="D103" t="s">
        <v>1019</v>
      </c>
      <c r="E103" t="s">
        <v>1158</v>
      </c>
      <c r="F103" t="s">
        <v>1712</v>
      </c>
      <c r="G103" t="s">
        <v>1718</v>
      </c>
      <c r="H103" t="s">
        <v>1722</v>
      </c>
      <c r="I103" t="s">
        <v>1727</v>
      </c>
      <c r="J103" t="s">
        <v>1896</v>
      </c>
      <c r="K103" t="s">
        <v>2371</v>
      </c>
      <c r="M103" t="s">
        <v>2455</v>
      </c>
      <c r="N103" t="s">
        <v>2727</v>
      </c>
      <c r="O103" t="s">
        <v>2728</v>
      </c>
      <c r="P103">
        <v>0</v>
      </c>
      <c r="Q103">
        <v>0</v>
      </c>
      <c r="R103" t="s">
        <v>2730</v>
      </c>
      <c r="S103" t="s">
        <v>2732</v>
      </c>
      <c r="T103" t="s">
        <v>2749</v>
      </c>
      <c r="U103" t="s">
        <v>2955</v>
      </c>
      <c r="W103" t="s">
        <v>2455</v>
      </c>
      <c r="X103" t="s">
        <v>3605</v>
      </c>
    </row>
    <row r="104" spans="1:24">
      <c r="A104">
        <f>HYPERLINK("https://www.philgeps.gov.ph/GEPSNONPILOT/Tender/SplashBidNoticeAbstractUI.aspx?menuIndex=3&amp;refID=7059918&amp;Result=3","7059918")</f>
        <v>0</v>
      </c>
      <c r="B104" t="s">
        <v>64</v>
      </c>
      <c r="C104" t="s">
        <v>432</v>
      </c>
      <c r="D104" t="s">
        <v>1018</v>
      </c>
      <c r="E104" t="s">
        <v>1159</v>
      </c>
      <c r="F104" t="s">
        <v>1712</v>
      </c>
      <c r="G104" t="s">
        <v>1716</v>
      </c>
      <c r="H104" t="s">
        <v>1722</v>
      </c>
      <c r="I104" t="s">
        <v>1742</v>
      </c>
      <c r="J104" t="s">
        <v>1897</v>
      </c>
      <c r="K104" t="s">
        <v>2359</v>
      </c>
      <c r="M104" t="s">
        <v>2454</v>
      </c>
      <c r="N104" t="s">
        <v>2727</v>
      </c>
      <c r="O104" t="s">
        <v>2728</v>
      </c>
      <c r="P104">
        <v>0</v>
      </c>
      <c r="Q104">
        <v>0</v>
      </c>
      <c r="R104" t="s">
        <v>2730</v>
      </c>
      <c r="S104" t="s">
        <v>2732</v>
      </c>
      <c r="T104" t="s">
        <v>2761</v>
      </c>
      <c r="U104" t="s">
        <v>2956</v>
      </c>
      <c r="W104" t="s">
        <v>2454</v>
      </c>
      <c r="X104" t="s">
        <v>3605</v>
      </c>
    </row>
    <row r="105" spans="1:24">
      <c r="A105">
        <f>HYPERLINK("https://www.philgeps.gov.ph/GEPSNONPILOT/Tender/SplashBidNoticeAbstractUI.aspx?menuIndex=3&amp;refID=7059899&amp;Result=3","7059899")</f>
        <v>0</v>
      </c>
      <c r="B105" t="s">
        <v>39</v>
      </c>
      <c r="C105" t="s">
        <v>433</v>
      </c>
      <c r="D105" t="s">
        <v>1004</v>
      </c>
      <c r="E105" t="s">
        <v>1160</v>
      </c>
      <c r="F105" t="s">
        <v>1712</v>
      </c>
      <c r="G105" t="s">
        <v>1717</v>
      </c>
      <c r="H105" t="s">
        <v>1722</v>
      </c>
      <c r="I105" t="s">
        <v>1756</v>
      </c>
      <c r="J105" t="s">
        <v>1898</v>
      </c>
      <c r="K105" t="s">
        <v>2366</v>
      </c>
      <c r="M105" t="s">
        <v>2428</v>
      </c>
      <c r="N105" t="s">
        <v>2727</v>
      </c>
      <c r="O105" t="s">
        <v>2728</v>
      </c>
      <c r="P105">
        <v>0</v>
      </c>
      <c r="Q105">
        <v>0</v>
      </c>
      <c r="R105" t="s">
        <v>2730</v>
      </c>
      <c r="S105" t="s">
        <v>2732</v>
      </c>
      <c r="T105" t="s">
        <v>2749</v>
      </c>
      <c r="U105" t="s">
        <v>2957</v>
      </c>
      <c r="V105" t="s">
        <v>3490</v>
      </c>
      <c r="W105" t="s">
        <v>2428</v>
      </c>
      <c r="X105" t="s">
        <v>3605</v>
      </c>
    </row>
    <row r="106" spans="1:24">
      <c r="A106">
        <f>HYPERLINK("https://www.philgeps.gov.ph/GEPSNONPILOT/Tender/SplashBidNoticeAbstractUI.aspx?menuIndex=3&amp;refID=7060048&amp;Result=3","7060048")</f>
        <v>0</v>
      </c>
      <c r="B106" t="s">
        <v>39</v>
      </c>
      <c r="C106" t="s">
        <v>434</v>
      </c>
      <c r="D106" t="s">
        <v>1004</v>
      </c>
      <c r="E106" t="s">
        <v>1161</v>
      </c>
      <c r="F106" t="s">
        <v>1712</v>
      </c>
      <c r="G106" t="s">
        <v>1719</v>
      </c>
      <c r="H106" t="s">
        <v>1722</v>
      </c>
      <c r="I106" t="s">
        <v>1732</v>
      </c>
      <c r="J106" t="s">
        <v>1899</v>
      </c>
      <c r="K106" t="s">
        <v>2366</v>
      </c>
      <c r="M106" t="s">
        <v>2428</v>
      </c>
      <c r="N106" t="s">
        <v>2727</v>
      </c>
      <c r="O106" t="s">
        <v>2728</v>
      </c>
      <c r="P106">
        <v>0</v>
      </c>
      <c r="Q106">
        <v>0</v>
      </c>
      <c r="R106" t="s">
        <v>2730</v>
      </c>
      <c r="S106" t="s">
        <v>2732</v>
      </c>
      <c r="T106" t="s">
        <v>2749</v>
      </c>
      <c r="U106" t="s">
        <v>2958</v>
      </c>
      <c r="V106" t="s">
        <v>3491</v>
      </c>
      <c r="W106" t="s">
        <v>2428</v>
      </c>
      <c r="X106" t="s">
        <v>3605</v>
      </c>
    </row>
    <row r="107" spans="1:24">
      <c r="A107">
        <f>HYPERLINK("https://www.philgeps.gov.ph/GEPSNONPILOT/Tender/SplashBidNoticeAbstractUI.aspx?menuIndex=3&amp;refID=7059923&amp;Result=3","7059923")</f>
        <v>0</v>
      </c>
      <c r="B107" t="s">
        <v>39</v>
      </c>
      <c r="C107" t="s">
        <v>435</v>
      </c>
      <c r="D107" t="s">
        <v>1004</v>
      </c>
      <c r="E107" t="s">
        <v>1162</v>
      </c>
      <c r="F107" t="s">
        <v>1712</v>
      </c>
      <c r="G107" t="s">
        <v>1717</v>
      </c>
      <c r="H107" t="s">
        <v>1722</v>
      </c>
      <c r="I107" t="s">
        <v>1745</v>
      </c>
      <c r="J107" t="s">
        <v>1900</v>
      </c>
      <c r="K107" t="s">
        <v>2366</v>
      </c>
      <c r="M107" t="s">
        <v>2428</v>
      </c>
      <c r="N107" t="s">
        <v>2727</v>
      </c>
      <c r="O107" t="s">
        <v>2728</v>
      </c>
      <c r="P107">
        <v>0</v>
      </c>
      <c r="Q107">
        <v>0</v>
      </c>
      <c r="R107" t="s">
        <v>2730</v>
      </c>
      <c r="S107" t="s">
        <v>2732</v>
      </c>
      <c r="T107" t="s">
        <v>2749</v>
      </c>
      <c r="U107" t="s">
        <v>2959</v>
      </c>
      <c r="V107" t="s">
        <v>3492</v>
      </c>
      <c r="W107" t="s">
        <v>2428</v>
      </c>
      <c r="X107" t="s">
        <v>3605</v>
      </c>
    </row>
    <row r="108" spans="1:24">
      <c r="A108">
        <f>HYPERLINK("https://www.philgeps.gov.ph/GEPSNONPILOT/Tender/SplashBidNoticeAbstractUI.aspx?menuIndex=3&amp;refID=7059970&amp;Result=3","7059970")</f>
        <v>0</v>
      </c>
      <c r="B108" t="s">
        <v>39</v>
      </c>
      <c r="C108" t="s">
        <v>436</v>
      </c>
      <c r="D108" t="s">
        <v>1004</v>
      </c>
      <c r="E108" t="s">
        <v>1163</v>
      </c>
      <c r="F108" t="s">
        <v>1712</v>
      </c>
      <c r="G108" t="s">
        <v>1717</v>
      </c>
      <c r="H108" t="s">
        <v>1722</v>
      </c>
      <c r="I108" t="s">
        <v>1756</v>
      </c>
      <c r="J108" t="s">
        <v>1829</v>
      </c>
      <c r="K108" t="s">
        <v>2366</v>
      </c>
      <c r="M108" t="s">
        <v>2428</v>
      </c>
      <c r="N108" t="s">
        <v>2727</v>
      </c>
      <c r="O108" t="s">
        <v>2728</v>
      </c>
      <c r="P108">
        <v>0</v>
      </c>
      <c r="Q108">
        <v>0</v>
      </c>
      <c r="R108" t="s">
        <v>2730</v>
      </c>
      <c r="S108" t="s">
        <v>2732</v>
      </c>
      <c r="T108" t="s">
        <v>2749</v>
      </c>
      <c r="U108" t="s">
        <v>2960</v>
      </c>
      <c r="V108" t="s">
        <v>3493</v>
      </c>
      <c r="W108" t="s">
        <v>2428</v>
      </c>
      <c r="X108" t="s">
        <v>3605</v>
      </c>
    </row>
    <row r="109" spans="1:24">
      <c r="A109">
        <f>HYPERLINK("https://www.philgeps.gov.ph/GEPSNONPILOT/Tender/SplashBidNoticeAbstractUI.aspx?menuIndex=3&amp;refID=7059873&amp;Result=3","7059873")</f>
        <v>0</v>
      </c>
      <c r="B109" t="s">
        <v>66</v>
      </c>
      <c r="C109" t="s">
        <v>437</v>
      </c>
      <c r="E109" t="s">
        <v>1164</v>
      </c>
      <c r="F109" t="s">
        <v>1712</v>
      </c>
      <c r="G109" t="s">
        <v>1717</v>
      </c>
      <c r="H109" t="s">
        <v>1723</v>
      </c>
      <c r="I109" t="s">
        <v>1729</v>
      </c>
      <c r="J109" t="s">
        <v>1901</v>
      </c>
      <c r="K109" t="s">
        <v>2366</v>
      </c>
      <c r="M109" t="s">
        <v>2456</v>
      </c>
      <c r="N109" t="s">
        <v>2727</v>
      </c>
      <c r="O109" t="s">
        <v>2728</v>
      </c>
      <c r="P109">
        <v>0</v>
      </c>
      <c r="Q109">
        <v>0</v>
      </c>
      <c r="R109" t="s">
        <v>2730</v>
      </c>
      <c r="S109" t="s">
        <v>2732</v>
      </c>
      <c r="T109" t="s">
        <v>2772</v>
      </c>
      <c r="U109" t="s">
        <v>2961</v>
      </c>
      <c r="W109" t="s">
        <v>3576</v>
      </c>
      <c r="X109" t="s">
        <v>3605</v>
      </c>
    </row>
    <row r="110" spans="1:24">
      <c r="A110">
        <f>HYPERLINK("https://www.philgeps.gov.ph/GEPSNONPILOT/Tender/SplashBidNoticeAbstractUI.aspx?menuIndex=3&amp;refID=7060331&amp;Result=3","7060331")</f>
        <v>0</v>
      </c>
      <c r="B110" t="s">
        <v>64</v>
      </c>
      <c r="C110" t="s">
        <v>438</v>
      </c>
      <c r="D110" t="s">
        <v>1018</v>
      </c>
      <c r="E110" t="s">
        <v>1165</v>
      </c>
      <c r="F110" t="s">
        <v>1712</v>
      </c>
      <c r="G110" t="s">
        <v>1716</v>
      </c>
      <c r="H110" t="s">
        <v>1722</v>
      </c>
      <c r="I110" t="s">
        <v>1732</v>
      </c>
      <c r="J110" t="s">
        <v>1902</v>
      </c>
      <c r="K110" t="s">
        <v>2359</v>
      </c>
      <c r="M110" t="s">
        <v>2454</v>
      </c>
      <c r="N110" t="s">
        <v>2727</v>
      </c>
      <c r="O110" t="s">
        <v>2728</v>
      </c>
      <c r="P110">
        <v>0</v>
      </c>
      <c r="Q110">
        <v>0</v>
      </c>
      <c r="R110" t="s">
        <v>2730</v>
      </c>
      <c r="S110" t="s">
        <v>2732</v>
      </c>
      <c r="T110" t="s">
        <v>2761</v>
      </c>
      <c r="U110" t="s">
        <v>2962</v>
      </c>
      <c r="W110" t="s">
        <v>2454</v>
      </c>
      <c r="X110" t="s">
        <v>3605</v>
      </c>
    </row>
    <row r="111" spans="1:24">
      <c r="A111">
        <f>HYPERLINK("https://www.philgeps.gov.ph/GEPSNONPILOT/Tender/SplashBidNoticeAbstractUI.aspx?menuIndex=3&amp;refID=7059897&amp;Result=3","7059897")</f>
        <v>0</v>
      </c>
      <c r="B111" t="s">
        <v>61</v>
      </c>
      <c r="C111" t="s">
        <v>439</v>
      </c>
      <c r="D111" t="s">
        <v>999</v>
      </c>
      <c r="E111" t="s">
        <v>1166</v>
      </c>
      <c r="F111" t="s">
        <v>1712</v>
      </c>
      <c r="G111" t="s">
        <v>1716</v>
      </c>
      <c r="H111" t="s">
        <v>1723</v>
      </c>
      <c r="I111" t="s">
        <v>1729</v>
      </c>
      <c r="J111" t="s">
        <v>1903</v>
      </c>
      <c r="K111" t="s">
        <v>2380</v>
      </c>
      <c r="M111" t="s">
        <v>2450</v>
      </c>
      <c r="N111" t="s">
        <v>2727</v>
      </c>
      <c r="O111" t="s">
        <v>2728</v>
      </c>
      <c r="P111">
        <v>0</v>
      </c>
      <c r="Q111">
        <v>0</v>
      </c>
      <c r="R111" t="s">
        <v>2730</v>
      </c>
      <c r="S111" t="s">
        <v>2732</v>
      </c>
      <c r="T111" t="s">
        <v>2773</v>
      </c>
      <c r="U111" t="s">
        <v>2963</v>
      </c>
      <c r="V111" t="s">
        <v>3488</v>
      </c>
      <c r="W111" t="s">
        <v>3575</v>
      </c>
      <c r="X111" t="s">
        <v>3605</v>
      </c>
    </row>
    <row r="112" spans="1:24">
      <c r="A112">
        <f>HYPERLINK("https://www.philgeps.gov.ph/GEPSNONPILOT/Tender/SplashBidNoticeAbstractUI.aspx?menuIndex=3&amp;refID=7060270&amp;Result=3","7060270")</f>
        <v>0</v>
      </c>
      <c r="B112" t="s">
        <v>67</v>
      </c>
      <c r="C112" t="s">
        <v>440</v>
      </c>
      <c r="D112" t="s">
        <v>1020</v>
      </c>
      <c r="E112" t="s">
        <v>1167</v>
      </c>
      <c r="F112" t="s">
        <v>1712</v>
      </c>
      <c r="G112" t="s">
        <v>1716</v>
      </c>
      <c r="H112" t="s">
        <v>1722</v>
      </c>
      <c r="I112" t="s">
        <v>1756</v>
      </c>
      <c r="J112" t="s">
        <v>1904</v>
      </c>
      <c r="K112" t="s">
        <v>2366</v>
      </c>
      <c r="M112" t="s">
        <v>2457</v>
      </c>
      <c r="N112" t="s">
        <v>2727</v>
      </c>
      <c r="O112" t="s">
        <v>2728</v>
      </c>
      <c r="P112">
        <v>0</v>
      </c>
      <c r="Q112">
        <v>0</v>
      </c>
      <c r="R112" t="s">
        <v>2730</v>
      </c>
      <c r="S112" t="s">
        <v>2732</v>
      </c>
      <c r="T112" t="s">
        <v>2751</v>
      </c>
      <c r="U112" t="s">
        <v>2964</v>
      </c>
      <c r="W112" t="s">
        <v>2457</v>
      </c>
      <c r="X112" t="s">
        <v>3605</v>
      </c>
    </row>
    <row r="113" spans="1:24">
      <c r="A113">
        <f>HYPERLINK("https://www.philgeps.gov.ph/GEPSNONPILOT/Tender/SplashBidNoticeAbstractUI.aspx?menuIndex=3&amp;refID=7059884&amp;Result=3","7059884")</f>
        <v>0</v>
      </c>
      <c r="B113" t="s">
        <v>39</v>
      </c>
      <c r="C113" t="s">
        <v>441</v>
      </c>
      <c r="D113" t="s">
        <v>1004</v>
      </c>
      <c r="E113" t="s">
        <v>1168</v>
      </c>
      <c r="F113" t="s">
        <v>1712</v>
      </c>
      <c r="G113" t="s">
        <v>1717</v>
      </c>
      <c r="H113" t="s">
        <v>1722</v>
      </c>
      <c r="I113" t="s">
        <v>1756</v>
      </c>
      <c r="J113" t="s">
        <v>1905</v>
      </c>
      <c r="K113" t="s">
        <v>2366</v>
      </c>
      <c r="M113" t="s">
        <v>2428</v>
      </c>
      <c r="N113" t="s">
        <v>2727</v>
      </c>
      <c r="O113" t="s">
        <v>2728</v>
      </c>
      <c r="P113">
        <v>0</v>
      </c>
      <c r="Q113">
        <v>0</v>
      </c>
      <c r="R113" t="s">
        <v>2730</v>
      </c>
      <c r="S113" t="s">
        <v>2732</v>
      </c>
      <c r="T113" t="s">
        <v>2749</v>
      </c>
      <c r="U113" t="s">
        <v>2965</v>
      </c>
      <c r="V113" t="s">
        <v>3494</v>
      </c>
      <c r="W113" t="s">
        <v>2428</v>
      </c>
      <c r="X113" t="s">
        <v>3605</v>
      </c>
    </row>
    <row r="114" spans="1:24">
      <c r="A114">
        <f>HYPERLINK("https://www.philgeps.gov.ph/GEPSNONPILOT/Tender/SplashBidNoticeAbstractUI.aspx?menuIndex=3&amp;refID=7059932&amp;Result=3","7059932")</f>
        <v>0</v>
      </c>
      <c r="B114" t="s">
        <v>39</v>
      </c>
      <c r="C114" t="s">
        <v>442</v>
      </c>
      <c r="D114" t="s">
        <v>1004</v>
      </c>
      <c r="E114" t="s">
        <v>1169</v>
      </c>
      <c r="F114" t="s">
        <v>1712</v>
      </c>
      <c r="G114" t="s">
        <v>1717</v>
      </c>
      <c r="H114" t="s">
        <v>1722</v>
      </c>
      <c r="I114" t="s">
        <v>1756</v>
      </c>
      <c r="J114" t="s">
        <v>1906</v>
      </c>
      <c r="K114" t="s">
        <v>2366</v>
      </c>
      <c r="M114" t="s">
        <v>2428</v>
      </c>
      <c r="N114" t="s">
        <v>2727</v>
      </c>
      <c r="O114" t="s">
        <v>2728</v>
      </c>
      <c r="P114">
        <v>0</v>
      </c>
      <c r="Q114">
        <v>0</v>
      </c>
      <c r="R114" t="s">
        <v>2730</v>
      </c>
      <c r="S114" t="s">
        <v>2732</v>
      </c>
      <c r="T114" t="s">
        <v>2749</v>
      </c>
      <c r="U114" t="s">
        <v>2966</v>
      </c>
      <c r="V114" t="s">
        <v>3491</v>
      </c>
      <c r="W114" t="s">
        <v>2428</v>
      </c>
      <c r="X114" t="s">
        <v>3605</v>
      </c>
    </row>
    <row r="115" spans="1:24">
      <c r="A115">
        <f>HYPERLINK("https://www.philgeps.gov.ph/GEPSNONPILOT/Tender/SplashBidNoticeAbstractUI.aspx?menuIndex=3&amp;refID=7060283&amp;Result=3","7060283")</f>
        <v>0</v>
      </c>
      <c r="B115" t="s">
        <v>64</v>
      </c>
      <c r="C115" t="s">
        <v>443</v>
      </c>
      <c r="D115" t="s">
        <v>1018</v>
      </c>
      <c r="E115" t="s">
        <v>1170</v>
      </c>
      <c r="F115" t="s">
        <v>1712</v>
      </c>
      <c r="G115" t="s">
        <v>1716</v>
      </c>
      <c r="H115" t="s">
        <v>1723</v>
      </c>
      <c r="I115" t="s">
        <v>1729</v>
      </c>
      <c r="J115" t="s">
        <v>1907</v>
      </c>
      <c r="K115" t="s">
        <v>2366</v>
      </c>
      <c r="M115" t="s">
        <v>2454</v>
      </c>
      <c r="N115" t="s">
        <v>2727</v>
      </c>
      <c r="O115" t="s">
        <v>2728</v>
      </c>
      <c r="P115">
        <v>0</v>
      </c>
      <c r="Q115">
        <v>0</v>
      </c>
      <c r="R115" t="s">
        <v>2730</v>
      </c>
      <c r="S115" t="s">
        <v>2732</v>
      </c>
      <c r="T115" t="s">
        <v>2761</v>
      </c>
      <c r="U115" t="s">
        <v>2967</v>
      </c>
      <c r="W115" t="s">
        <v>2454</v>
      </c>
      <c r="X115" t="s">
        <v>3605</v>
      </c>
    </row>
    <row r="116" spans="1:24">
      <c r="A116">
        <f>HYPERLINK("https://www.philgeps.gov.ph/GEPSNONPILOT/Tender/SplashBidNoticeAbstractUI.aspx?menuIndex=3&amp;refID=7059861&amp;Result=3","7059861")</f>
        <v>0</v>
      </c>
      <c r="B116" t="s">
        <v>61</v>
      </c>
      <c r="C116" t="s">
        <v>444</v>
      </c>
      <c r="D116" t="s">
        <v>999</v>
      </c>
      <c r="E116" t="s">
        <v>1171</v>
      </c>
      <c r="F116" t="s">
        <v>1712</v>
      </c>
      <c r="G116" t="s">
        <v>1716</v>
      </c>
      <c r="H116" t="s">
        <v>1723</v>
      </c>
      <c r="I116" t="s">
        <v>1729</v>
      </c>
      <c r="J116" t="s">
        <v>1908</v>
      </c>
      <c r="K116" t="s">
        <v>2380</v>
      </c>
      <c r="M116" t="s">
        <v>2450</v>
      </c>
      <c r="N116" t="s">
        <v>2727</v>
      </c>
      <c r="O116" t="s">
        <v>2728</v>
      </c>
      <c r="P116">
        <v>0</v>
      </c>
      <c r="Q116">
        <v>0</v>
      </c>
      <c r="R116" t="s">
        <v>2730</v>
      </c>
      <c r="S116" t="s">
        <v>2732</v>
      </c>
      <c r="T116" t="s">
        <v>2769</v>
      </c>
      <c r="U116" t="s">
        <v>2968</v>
      </c>
      <c r="V116" t="s">
        <v>3488</v>
      </c>
      <c r="W116" t="s">
        <v>3575</v>
      </c>
      <c r="X116" t="s">
        <v>3605</v>
      </c>
    </row>
    <row r="117" spans="1:24">
      <c r="A117">
        <f>HYPERLINK("https://www.philgeps.gov.ph/GEPSNONPILOT/Tender/SplashBidNoticeAbstractUI.aspx?menuIndex=3&amp;refID=7060102&amp;Result=3","7060102")</f>
        <v>0</v>
      </c>
      <c r="B117" t="s">
        <v>61</v>
      </c>
      <c r="C117" t="s">
        <v>445</v>
      </c>
      <c r="D117" t="s">
        <v>999</v>
      </c>
      <c r="E117" t="s">
        <v>1172</v>
      </c>
      <c r="F117" t="s">
        <v>1712</v>
      </c>
      <c r="G117" t="s">
        <v>1716</v>
      </c>
      <c r="H117" t="s">
        <v>1723</v>
      </c>
      <c r="I117" t="s">
        <v>1729</v>
      </c>
      <c r="J117" t="s">
        <v>1909</v>
      </c>
      <c r="K117" t="s">
        <v>2380</v>
      </c>
      <c r="M117" t="s">
        <v>2450</v>
      </c>
      <c r="N117" t="s">
        <v>2727</v>
      </c>
      <c r="O117" t="s">
        <v>2728</v>
      </c>
      <c r="P117">
        <v>0</v>
      </c>
      <c r="Q117">
        <v>0</v>
      </c>
      <c r="R117" t="s">
        <v>2730</v>
      </c>
      <c r="S117" t="s">
        <v>2732</v>
      </c>
      <c r="T117" t="s">
        <v>2773</v>
      </c>
      <c r="U117" t="s">
        <v>2969</v>
      </c>
      <c r="V117" t="s">
        <v>3488</v>
      </c>
      <c r="W117" t="s">
        <v>3575</v>
      </c>
      <c r="X117" t="s">
        <v>3605</v>
      </c>
    </row>
    <row r="118" spans="1:24">
      <c r="A118">
        <f>HYPERLINK("https://www.philgeps.gov.ph/GEPSNONPILOT/Tender/SplashBidNoticeAbstractUI.aspx?menuIndex=3&amp;refID=7060223&amp;Result=3","7060223")</f>
        <v>0</v>
      </c>
      <c r="B118" t="s">
        <v>64</v>
      </c>
      <c r="C118" t="s">
        <v>446</v>
      </c>
      <c r="D118" t="s">
        <v>1018</v>
      </c>
      <c r="E118" t="s">
        <v>1173</v>
      </c>
      <c r="F118" t="s">
        <v>1712</v>
      </c>
      <c r="G118" t="s">
        <v>1716</v>
      </c>
      <c r="H118" t="s">
        <v>1722</v>
      </c>
      <c r="I118" t="s">
        <v>1732</v>
      </c>
      <c r="J118" t="s">
        <v>1910</v>
      </c>
      <c r="K118" t="s">
        <v>2359</v>
      </c>
      <c r="M118" t="s">
        <v>2454</v>
      </c>
      <c r="N118" t="s">
        <v>2727</v>
      </c>
      <c r="O118" t="s">
        <v>2728</v>
      </c>
      <c r="P118">
        <v>0</v>
      </c>
      <c r="Q118">
        <v>0</v>
      </c>
      <c r="R118" t="s">
        <v>2730</v>
      </c>
      <c r="S118" t="s">
        <v>2732</v>
      </c>
      <c r="T118" t="s">
        <v>2761</v>
      </c>
      <c r="U118" t="s">
        <v>2970</v>
      </c>
      <c r="W118" t="s">
        <v>2454</v>
      </c>
      <c r="X118" t="s">
        <v>3605</v>
      </c>
    </row>
    <row r="119" spans="1:24">
      <c r="A119">
        <f>HYPERLINK("https://www.philgeps.gov.ph/GEPSNONPILOT/Tender/SplashBidNoticeAbstractUI.aspx?menuIndex=3&amp;refID=7059977&amp;Result=3","7059977")</f>
        <v>0</v>
      </c>
      <c r="B119" t="s">
        <v>61</v>
      </c>
      <c r="C119" t="s">
        <v>447</v>
      </c>
      <c r="D119" t="s">
        <v>999</v>
      </c>
      <c r="E119" t="s">
        <v>1174</v>
      </c>
      <c r="F119" t="s">
        <v>1712</v>
      </c>
      <c r="G119" t="s">
        <v>1716</v>
      </c>
      <c r="H119" t="s">
        <v>1723</v>
      </c>
      <c r="I119" t="s">
        <v>1729</v>
      </c>
      <c r="J119" t="s">
        <v>1911</v>
      </c>
      <c r="K119" t="s">
        <v>2380</v>
      </c>
      <c r="M119" t="s">
        <v>2450</v>
      </c>
      <c r="N119" t="s">
        <v>2727</v>
      </c>
      <c r="O119" t="s">
        <v>2728</v>
      </c>
      <c r="P119">
        <v>0</v>
      </c>
      <c r="Q119">
        <v>0</v>
      </c>
      <c r="R119" t="s">
        <v>2730</v>
      </c>
      <c r="S119" t="s">
        <v>2732</v>
      </c>
      <c r="T119" t="s">
        <v>2773</v>
      </c>
      <c r="U119" t="s">
        <v>2971</v>
      </c>
      <c r="V119" t="s">
        <v>3488</v>
      </c>
      <c r="W119" t="s">
        <v>3575</v>
      </c>
      <c r="X119" t="s">
        <v>3605</v>
      </c>
    </row>
    <row r="120" spans="1:24">
      <c r="A120">
        <f>HYPERLINK("https://www.philgeps.gov.ph/GEPSNONPILOT/Tender/SplashBidNoticeAbstractUI.aspx?menuIndex=3&amp;refID=7060248&amp;Result=3","7060248")</f>
        <v>0</v>
      </c>
      <c r="B120" t="s">
        <v>64</v>
      </c>
      <c r="C120" t="s">
        <v>448</v>
      </c>
      <c r="D120" t="s">
        <v>1018</v>
      </c>
      <c r="E120" t="s">
        <v>1175</v>
      </c>
      <c r="F120" t="s">
        <v>1712</v>
      </c>
      <c r="G120" t="s">
        <v>1716</v>
      </c>
      <c r="H120" t="s">
        <v>1723</v>
      </c>
      <c r="I120" t="s">
        <v>1760</v>
      </c>
      <c r="J120" t="s">
        <v>1912</v>
      </c>
      <c r="K120" t="s">
        <v>2370</v>
      </c>
      <c r="M120" t="s">
        <v>2454</v>
      </c>
      <c r="N120" t="s">
        <v>2727</v>
      </c>
      <c r="O120" t="s">
        <v>2728</v>
      </c>
      <c r="P120">
        <v>0</v>
      </c>
      <c r="Q120">
        <v>0</v>
      </c>
      <c r="R120" t="s">
        <v>2730</v>
      </c>
      <c r="S120" t="s">
        <v>2732</v>
      </c>
      <c r="T120" t="s">
        <v>2761</v>
      </c>
      <c r="U120" t="s">
        <v>2972</v>
      </c>
      <c r="W120" t="s">
        <v>2454</v>
      </c>
      <c r="X120" t="s">
        <v>3605</v>
      </c>
    </row>
    <row r="121" spans="1:24">
      <c r="A121">
        <f>HYPERLINK("https://www.philgeps.gov.ph/GEPSNONPILOT/Tender/SplashBidNoticeAbstractUI.aspx?menuIndex=3&amp;refID=7060016&amp;Result=3","7060016")</f>
        <v>0</v>
      </c>
      <c r="B121" t="s">
        <v>39</v>
      </c>
      <c r="C121" t="s">
        <v>449</v>
      </c>
      <c r="D121" t="s">
        <v>1004</v>
      </c>
      <c r="E121" t="s">
        <v>1176</v>
      </c>
      <c r="F121" t="s">
        <v>1712</v>
      </c>
      <c r="G121" t="s">
        <v>1717</v>
      </c>
      <c r="H121" t="s">
        <v>1722</v>
      </c>
      <c r="I121" t="s">
        <v>1756</v>
      </c>
      <c r="J121" t="s">
        <v>1913</v>
      </c>
      <c r="K121" t="s">
        <v>2366</v>
      </c>
      <c r="M121" t="s">
        <v>2428</v>
      </c>
      <c r="N121" t="s">
        <v>2727</v>
      </c>
      <c r="O121" t="s">
        <v>2728</v>
      </c>
      <c r="P121">
        <v>0</v>
      </c>
      <c r="Q121">
        <v>0</v>
      </c>
      <c r="R121" t="s">
        <v>2730</v>
      </c>
      <c r="S121" t="s">
        <v>2732</v>
      </c>
      <c r="T121" t="s">
        <v>2749</v>
      </c>
      <c r="U121" t="s">
        <v>2973</v>
      </c>
      <c r="V121" t="s">
        <v>3495</v>
      </c>
      <c r="W121" t="s">
        <v>2428</v>
      </c>
      <c r="X121" t="s">
        <v>3605</v>
      </c>
    </row>
    <row r="122" spans="1:24">
      <c r="A122">
        <f>HYPERLINK("https://www.philgeps.gov.ph/GEPSNONPILOT/Tender/SplashBidNoticeAbstractUI.aspx?menuIndex=3&amp;refID=7060508&amp;Result=3","7060508")</f>
        <v>0</v>
      </c>
      <c r="B122" t="s">
        <v>68</v>
      </c>
      <c r="C122" t="s">
        <v>450</v>
      </c>
      <c r="E122" t="s">
        <v>1177</v>
      </c>
      <c r="F122" t="s">
        <v>1712</v>
      </c>
      <c r="G122" t="s">
        <v>1717</v>
      </c>
      <c r="H122" t="s">
        <v>1722</v>
      </c>
      <c r="I122" t="s">
        <v>1761</v>
      </c>
      <c r="J122" t="s">
        <v>1914</v>
      </c>
      <c r="K122" t="s">
        <v>2358</v>
      </c>
      <c r="M122" t="s">
        <v>2458</v>
      </c>
      <c r="N122" t="s">
        <v>2727</v>
      </c>
      <c r="O122" t="s">
        <v>2728</v>
      </c>
      <c r="P122">
        <v>0</v>
      </c>
      <c r="Q122">
        <v>0</v>
      </c>
      <c r="R122" t="s">
        <v>2730</v>
      </c>
      <c r="S122" t="s">
        <v>2732</v>
      </c>
      <c r="T122" t="s">
        <v>2774</v>
      </c>
      <c r="U122" t="s">
        <v>2974</v>
      </c>
      <c r="W122" t="s">
        <v>2458</v>
      </c>
      <c r="X122" t="s">
        <v>3605</v>
      </c>
    </row>
    <row r="123" spans="1:24">
      <c r="A123">
        <f>HYPERLINK("https://www.philgeps.gov.ph/GEPSNONPILOT/Tender/SplashBidNoticeAbstractUI.aspx?menuIndex=3&amp;refID=7060817&amp;Result=3","7060817")</f>
        <v>0</v>
      </c>
      <c r="B123" t="s">
        <v>61</v>
      </c>
      <c r="C123" t="s">
        <v>451</v>
      </c>
      <c r="D123" t="s">
        <v>999</v>
      </c>
      <c r="E123" t="s">
        <v>1178</v>
      </c>
      <c r="F123" t="s">
        <v>1712</v>
      </c>
      <c r="G123" t="s">
        <v>1716</v>
      </c>
      <c r="H123" t="s">
        <v>1723</v>
      </c>
      <c r="I123" t="s">
        <v>1729</v>
      </c>
      <c r="J123" t="s">
        <v>1915</v>
      </c>
      <c r="K123" t="s">
        <v>2380</v>
      </c>
      <c r="M123" t="s">
        <v>2450</v>
      </c>
      <c r="N123" t="s">
        <v>2727</v>
      </c>
      <c r="O123" t="s">
        <v>2728</v>
      </c>
      <c r="P123">
        <v>0</v>
      </c>
      <c r="Q123">
        <v>0</v>
      </c>
      <c r="R123" t="s">
        <v>2730</v>
      </c>
      <c r="S123" t="s">
        <v>2732</v>
      </c>
      <c r="T123" t="s">
        <v>2775</v>
      </c>
      <c r="U123" t="s">
        <v>2975</v>
      </c>
      <c r="V123" t="s">
        <v>3488</v>
      </c>
      <c r="W123" t="s">
        <v>3575</v>
      </c>
      <c r="X123" t="s">
        <v>3605</v>
      </c>
    </row>
    <row r="124" spans="1:24">
      <c r="A124">
        <f>HYPERLINK("https://www.philgeps.gov.ph/GEPSNONPILOT/Tender/SplashBidNoticeAbstractUI.aspx?menuIndex=3&amp;refID=7060478&amp;Result=3","7060478")</f>
        <v>0</v>
      </c>
      <c r="B124" t="s">
        <v>69</v>
      </c>
      <c r="C124" t="s">
        <v>452</v>
      </c>
      <c r="D124" t="s">
        <v>1021</v>
      </c>
      <c r="E124" t="s">
        <v>1179</v>
      </c>
      <c r="F124" t="s">
        <v>1712</v>
      </c>
      <c r="G124" t="s">
        <v>1717</v>
      </c>
      <c r="H124" t="s">
        <v>1722</v>
      </c>
      <c r="I124" t="s">
        <v>1727</v>
      </c>
      <c r="J124" t="s">
        <v>1916</v>
      </c>
      <c r="K124" t="s">
        <v>2359</v>
      </c>
      <c r="M124" t="s">
        <v>2459</v>
      </c>
      <c r="N124" t="s">
        <v>2727</v>
      </c>
      <c r="O124" t="s">
        <v>2728</v>
      </c>
      <c r="P124">
        <v>0</v>
      </c>
      <c r="Q124">
        <v>0</v>
      </c>
      <c r="R124" t="s">
        <v>2730</v>
      </c>
      <c r="S124" t="s">
        <v>2732</v>
      </c>
      <c r="T124" t="s">
        <v>2776</v>
      </c>
      <c r="U124" t="s">
        <v>2976</v>
      </c>
      <c r="W124" t="s">
        <v>2459</v>
      </c>
      <c r="X124" t="s">
        <v>3605</v>
      </c>
    </row>
    <row r="125" spans="1:24">
      <c r="A125">
        <f>HYPERLINK("https://www.philgeps.gov.ph/GEPSNONPILOT/Tender/SplashBidNoticeAbstractUI.aspx?menuIndex=3&amp;refID=7060677&amp;Result=3","7060677")</f>
        <v>0</v>
      </c>
      <c r="B125" t="s">
        <v>64</v>
      </c>
      <c r="C125" t="s">
        <v>453</v>
      </c>
      <c r="D125" t="s">
        <v>1018</v>
      </c>
      <c r="E125" t="s">
        <v>1180</v>
      </c>
      <c r="F125" t="s">
        <v>1712</v>
      </c>
      <c r="G125" t="s">
        <v>1716</v>
      </c>
      <c r="H125" t="s">
        <v>1722</v>
      </c>
      <c r="I125" t="s">
        <v>1755</v>
      </c>
      <c r="J125" t="s">
        <v>1917</v>
      </c>
      <c r="K125" t="s">
        <v>2359</v>
      </c>
      <c r="M125" t="s">
        <v>2454</v>
      </c>
      <c r="N125" t="s">
        <v>2727</v>
      </c>
      <c r="O125" t="s">
        <v>2728</v>
      </c>
      <c r="P125">
        <v>0</v>
      </c>
      <c r="Q125">
        <v>0</v>
      </c>
      <c r="R125" t="s">
        <v>2730</v>
      </c>
      <c r="S125" t="s">
        <v>2732</v>
      </c>
      <c r="T125" t="s">
        <v>2761</v>
      </c>
      <c r="U125" t="s">
        <v>2977</v>
      </c>
      <c r="W125" t="s">
        <v>2454</v>
      </c>
      <c r="X125" t="s">
        <v>3605</v>
      </c>
    </row>
    <row r="126" spans="1:24">
      <c r="A126">
        <f>HYPERLINK("https://www.philgeps.gov.ph/GEPSNONPILOT/Tender/SplashBidNoticeAbstractUI.aspx?menuIndex=3&amp;refID=7060769&amp;Result=3","7060769")</f>
        <v>0</v>
      </c>
      <c r="B126" t="s">
        <v>64</v>
      </c>
      <c r="C126" t="s">
        <v>454</v>
      </c>
      <c r="D126" t="s">
        <v>1018</v>
      </c>
      <c r="E126" t="s">
        <v>1181</v>
      </c>
      <c r="F126" t="s">
        <v>1712</v>
      </c>
      <c r="G126" t="s">
        <v>1716</v>
      </c>
      <c r="H126" t="s">
        <v>1722</v>
      </c>
      <c r="I126" t="s">
        <v>1762</v>
      </c>
      <c r="J126" t="s">
        <v>1818</v>
      </c>
      <c r="K126" t="s">
        <v>2359</v>
      </c>
      <c r="M126" t="s">
        <v>2454</v>
      </c>
      <c r="N126" t="s">
        <v>2727</v>
      </c>
      <c r="O126" t="s">
        <v>2728</v>
      </c>
      <c r="P126">
        <v>0</v>
      </c>
      <c r="Q126">
        <v>0</v>
      </c>
      <c r="R126" t="s">
        <v>2730</v>
      </c>
      <c r="S126" t="s">
        <v>2732</v>
      </c>
      <c r="T126" t="s">
        <v>2761</v>
      </c>
      <c r="U126" t="s">
        <v>2978</v>
      </c>
      <c r="W126" t="s">
        <v>2454</v>
      </c>
      <c r="X126" t="s">
        <v>3605</v>
      </c>
    </row>
    <row r="127" spans="1:24">
      <c r="A127">
        <f>HYPERLINK("https://www.philgeps.gov.ph/GEPSNONPILOT/Tender/SplashBidNoticeAbstractUI.aspx?menuIndex=3&amp;refID=7060402&amp;Result=3","7060402")</f>
        <v>0</v>
      </c>
      <c r="B127" t="s">
        <v>64</v>
      </c>
      <c r="C127" t="s">
        <v>455</v>
      </c>
      <c r="D127" t="s">
        <v>1018</v>
      </c>
      <c r="E127" t="s">
        <v>1182</v>
      </c>
      <c r="F127" t="s">
        <v>1712</v>
      </c>
      <c r="G127" t="s">
        <v>1716</v>
      </c>
      <c r="H127" t="s">
        <v>1725</v>
      </c>
      <c r="I127" t="s">
        <v>1739</v>
      </c>
      <c r="J127" t="s">
        <v>1918</v>
      </c>
      <c r="K127" t="s">
        <v>2359</v>
      </c>
      <c r="M127" t="s">
        <v>2454</v>
      </c>
      <c r="N127" t="s">
        <v>2727</v>
      </c>
      <c r="O127" t="s">
        <v>2728</v>
      </c>
      <c r="P127">
        <v>0</v>
      </c>
      <c r="Q127">
        <v>0</v>
      </c>
      <c r="R127" t="s">
        <v>2730</v>
      </c>
      <c r="S127" t="s">
        <v>2732</v>
      </c>
      <c r="T127" t="s">
        <v>2761</v>
      </c>
      <c r="U127" t="s">
        <v>2979</v>
      </c>
      <c r="W127" t="s">
        <v>2454</v>
      </c>
      <c r="X127" t="s">
        <v>3605</v>
      </c>
    </row>
    <row r="128" spans="1:24">
      <c r="A128">
        <f>HYPERLINK("https://www.philgeps.gov.ph/GEPSNONPILOT/Tender/SplashBidNoticeAbstractUI.aspx?menuIndex=3&amp;refID=7060673&amp;Result=3","7060673")</f>
        <v>0</v>
      </c>
      <c r="B128" t="s">
        <v>70</v>
      </c>
      <c r="C128" t="s">
        <v>456</v>
      </c>
      <c r="D128" t="s">
        <v>1022</v>
      </c>
      <c r="E128" t="s">
        <v>1183</v>
      </c>
      <c r="F128" t="s">
        <v>1712</v>
      </c>
      <c r="G128" t="s">
        <v>1716</v>
      </c>
      <c r="H128" t="s">
        <v>1723</v>
      </c>
      <c r="I128" t="s">
        <v>1729</v>
      </c>
      <c r="J128" t="s">
        <v>1919</v>
      </c>
      <c r="K128" t="s">
        <v>2369</v>
      </c>
      <c r="M128" t="s">
        <v>2460</v>
      </c>
      <c r="N128" t="s">
        <v>2727</v>
      </c>
      <c r="O128" t="s">
        <v>2728</v>
      </c>
      <c r="P128">
        <v>0</v>
      </c>
      <c r="Q128">
        <v>0</v>
      </c>
      <c r="R128" t="s">
        <v>2730</v>
      </c>
      <c r="S128" t="s">
        <v>2732</v>
      </c>
      <c r="T128" t="s">
        <v>2777</v>
      </c>
      <c r="U128" t="s">
        <v>2980</v>
      </c>
      <c r="W128" t="s">
        <v>2460</v>
      </c>
      <c r="X128" t="s">
        <v>3605</v>
      </c>
    </row>
    <row r="129" spans="1:24">
      <c r="A129">
        <f>HYPERLINK("https://www.philgeps.gov.ph/GEPSNONPILOT/Tender/SplashBidNoticeAbstractUI.aspx?menuIndex=3&amp;refID=7060796&amp;Result=3","7060796")</f>
        <v>0</v>
      </c>
      <c r="B129" t="s">
        <v>71</v>
      </c>
      <c r="C129" t="s">
        <v>457</v>
      </c>
      <c r="D129" t="s">
        <v>995</v>
      </c>
      <c r="E129" t="s">
        <v>1184</v>
      </c>
      <c r="F129" t="s">
        <v>1712</v>
      </c>
      <c r="G129" t="s">
        <v>1716</v>
      </c>
      <c r="H129" t="s">
        <v>1722</v>
      </c>
      <c r="I129" t="s">
        <v>1763</v>
      </c>
      <c r="J129" t="s">
        <v>1920</v>
      </c>
      <c r="K129" t="s">
        <v>2371</v>
      </c>
      <c r="M129" t="s">
        <v>2461</v>
      </c>
      <c r="N129" t="s">
        <v>2727</v>
      </c>
      <c r="O129" t="s">
        <v>2728</v>
      </c>
      <c r="P129">
        <v>0</v>
      </c>
      <c r="Q129">
        <v>1</v>
      </c>
      <c r="R129" t="s">
        <v>2730</v>
      </c>
      <c r="S129" t="s">
        <v>2732</v>
      </c>
      <c r="T129" t="s">
        <v>2757</v>
      </c>
      <c r="U129" t="s">
        <v>2981</v>
      </c>
      <c r="W129" t="s">
        <v>2461</v>
      </c>
      <c r="X129" t="s">
        <v>3605</v>
      </c>
    </row>
    <row r="130" spans="1:24">
      <c r="A130">
        <f>HYPERLINK("https://www.philgeps.gov.ph/GEPSNONPILOT/Tender/SplashBidNoticeAbstractUI.aspx?menuIndex=3&amp;refID=7060630&amp;Result=3","7060630")</f>
        <v>0</v>
      </c>
      <c r="B130" t="s">
        <v>64</v>
      </c>
      <c r="C130" t="s">
        <v>458</v>
      </c>
      <c r="D130" t="s">
        <v>1018</v>
      </c>
      <c r="E130" t="s">
        <v>1185</v>
      </c>
      <c r="F130" t="s">
        <v>1712</v>
      </c>
      <c r="G130" t="s">
        <v>1716</v>
      </c>
      <c r="H130" t="s">
        <v>1723</v>
      </c>
      <c r="I130" t="s">
        <v>1729</v>
      </c>
      <c r="J130" t="s">
        <v>1921</v>
      </c>
      <c r="K130" t="s">
        <v>2366</v>
      </c>
      <c r="M130" t="s">
        <v>2454</v>
      </c>
      <c r="N130" t="s">
        <v>2727</v>
      </c>
      <c r="O130" t="s">
        <v>2728</v>
      </c>
      <c r="P130">
        <v>0</v>
      </c>
      <c r="Q130">
        <v>0</v>
      </c>
      <c r="R130" t="s">
        <v>2730</v>
      </c>
      <c r="S130" t="s">
        <v>2732</v>
      </c>
      <c r="T130" t="s">
        <v>2761</v>
      </c>
      <c r="U130" t="s">
        <v>2982</v>
      </c>
      <c r="W130" t="s">
        <v>2454</v>
      </c>
      <c r="X130" t="s">
        <v>3605</v>
      </c>
    </row>
    <row r="131" spans="1:24">
      <c r="A131">
        <f>HYPERLINK("https://www.philgeps.gov.ph/GEPSNONPILOT/Tender/SplashBidNoticeAbstractUI.aspx?menuIndex=3&amp;refID=7060659&amp;Result=3","7060659")</f>
        <v>0</v>
      </c>
      <c r="B131" t="s">
        <v>61</v>
      </c>
      <c r="C131" t="s">
        <v>459</v>
      </c>
      <c r="D131" t="s">
        <v>999</v>
      </c>
      <c r="E131" t="s">
        <v>1186</v>
      </c>
      <c r="F131" t="s">
        <v>1712</v>
      </c>
      <c r="G131" t="s">
        <v>1716</v>
      </c>
      <c r="H131" t="s">
        <v>1723</v>
      </c>
      <c r="I131" t="s">
        <v>1729</v>
      </c>
      <c r="J131" t="s">
        <v>1922</v>
      </c>
      <c r="K131" t="s">
        <v>2380</v>
      </c>
      <c r="M131" t="s">
        <v>2450</v>
      </c>
      <c r="N131" t="s">
        <v>2727</v>
      </c>
      <c r="O131" t="s">
        <v>2728</v>
      </c>
      <c r="P131">
        <v>0</v>
      </c>
      <c r="Q131">
        <v>0</v>
      </c>
      <c r="R131" t="s">
        <v>2730</v>
      </c>
      <c r="S131" t="s">
        <v>2732</v>
      </c>
      <c r="T131" t="s">
        <v>2775</v>
      </c>
      <c r="U131" t="s">
        <v>2983</v>
      </c>
      <c r="V131" t="s">
        <v>3488</v>
      </c>
      <c r="W131" t="s">
        <v>3575</v>
      </c>
      <c r="X131" t="s">
        <v>3605</v>
      </c>
    </row>
    <row r="132" spans="1:24">
      <c r="A132">
        <f>HYPERLINK("https://www.philgeps.gov.ph/GEPSNONPILOT/Tender/SplashBidNoticeAbstractUI.aspx?menuIndex=3&amp;refID=7060801&amp;Result=3","7060801")</f>
        <v>0</v>
      </c>
      <c r="B132" t="s">
        <v>64</v>
      </c>
      <c r="C132" t="s">
        <v>460</v>
      </c>
      <c r="D132" t="s">
        <v>1018</v>
      </c>
      <c r="E132" t="s">
        <v>1187</v>
      </c>
      <c r="F132" t="s">
        <v>1712</v>
      </c>
      <c r="G132" t="s">
        <v>1716</v>
      </c>
      <c r="H132" t="s">
        <v>1722</v>
      </c>
      <c r="I132" t="s">
        <v>1745</v>
      </c>
      <c r="J132" t="s">
        <v>1923</v>
      </c>
      <c r="K132" t="s">
        <v>2359</v>
      </c>
      <c r="M132" t="s">
        <v>2454</v>
      </c>
      <c r="N132" t="s">
        <v>2727</v>
      </c>
      <c r="O132" t="s">
        <v>2728</v>
      </c>
      <c r="P132">
        <v>0</v>
      </c>
      <c r="Q132">
        <v>1</v>
      </c>
      <c r="R132" t="s">
        <v>2730</v>
      </c>
      <c r="S132" t="s">
        <v>2732</v>
      </c>
      <c r="T132" t="s">
        <v>2761</v>
      </c>
      <c r="U132" t="s">
        <v>2984</v>
      </c>
      <c r="W132" t="s">
        <v>2454</v>
      </c>
      <c r="X132" t="s">
        <v>3605</v>
      </c>
    </row>
    <row r="133" spans="1:24">
      <c r="A133">
        <f>HYPERLINK("https://www.philgeps.gov.ph/GEPSNONPILOT/Tender/SplashBidNoticeAbstractUI.aspx?menuIndex=3&amp;refID=7060642&amp;Result=3","7060642")</f>
        <v>0</v>
      </c>
      <c r="B133" t="s">
        <v>68</v>
      </c>
      <c r="C133" t="s">
        <v>461</v>
      </c>
      <c r="E133" t="s">
        <v>1188</v>
      </c>
      <c r="F133" t="s">
        <v>1712</v>
      </c>
      <c r="G133" t="s">
        <v>1717</v>
      </c>
      <c r="H133" t="s">
        <v>1722</v>
      </c>
      <c r="I133" t="s">
        <v>1761</v>
      </c>
      <c r="J133" t="s">
        <v>1824</v>
      </c>
      <c r="K133" t="s">
        <v>2358</v>
      </c>
      <c r="M133" t="s">
        <v>2458</v>
      </c>
      <c r="N133" t="s">
        <v>2727</v>
      </c>
      <c r="O133" t="s">
        <v>2728</v>
      </c>
      <c r="P133">
        <v>0</v>
      </c>
      <c r="Q133">
        <v>0</v>
      </c>
      <c r="R133" t="s">
        <v>2730</v>
      </c>
      <c r="S133" t="s">
        <v>2732</v>
      </c>
      <c r="T133" t="s">
        <v>2774</v>
      </c>
      <c r="U133" t="s">
        <v>2974</v>
      </c>
      <c r="W133" t="s">
        <v>2458</v>
      </c>
      <c r="X133" t="s">
        <v>3605</v>
      </c>
    </row>
    <row r="134" spans="1:24">
      <c r="A134">
        <f>HYPERLINK("https://www.philgeps.gov.ph/GEPSNONPILOT/Tender/SplashBidNoticeAbstractUI.aspx?menuIndex=3&amp;refID=7060651&amp;Result=3","7060651")</f>
        <v>0</v>
      </c>
      <c r="B134" t="s">
        <v>64</v>
      </c>
      <c r="C134" t="s">
        <v>462</v>
      </c>
      <c r="D134" t="s">
        <v>1018</v>
      </c>
      <c r="E134" t="s">
        <v>1189</v>
      </c>
      <c r="F134" t="s">
        <v>1712</v>
      </c>
      <c r="G134" t="s">
        <v>1716</v>
      </c>
      <c r="H134" t="s">
        <v>1723</v>
      </c>
      <c r="I134" t="s">
        <v>1729</v>
      </c>
      <c r="J134" t="s">
        <v>1924</v>
      </c>
      <c r="K134" t="s">
        <v>2365</v>
      </c>
      <c r="M134" t="s">
        <v>2454</v>
      </c>
      <c r="N134" t="s">
        <v>2727</v>
      </c>
      <c r="O134" t="s">
        <v>2728</v>
      </c>
      <c r="P134">
        <v>0</v>
      </c>
      <c r="Q134">
        <v>0</v>
      </c>
      <c r="R134" t="s">
        <v>2730</v>
      </c>
      <c r="S134" t="s">
        <v>2732</v>
      </c>
      <c r="T134" t="s">
        <v>2761</v>
      </c>
      <c r="U134" t="s">
        <v>2985</v>
      </c>
      <c r="W134" t="s">
        <v>2454</v>
      </c>
      <c r="X134" t="s">
        <v>3605</v>
      </c>
    </row>
    <row r="135" spans="1:24">
      <c r="A135">
        <f>HYPERLINK("https://www.philgeps.gov.ph/GEPSNONPILOT/Tender/SplashBidNoticeAbstractUI.aspx?menuIndex=3&amp;refID=7060932&amp;Result=3","7060932")</f>
        <v>0</v>
      </c>
      <c r="B135" t="s">
        <v>64</v>
      </c>
      <c r="C135" t="s">
        <v>463</v>
      </c>
      <c r="D135" t="s">
        <v>1018</v>
      </c>
      <c r="E135" t="s">
        <v>1190</v>
      </c>
      <c r="F135" t="s">
        <v>1712</v>
      </c>
      <c r="G135" t="s">
        <v>1716</v>
      </c>
      <c r="H135" t="s">
        <v>1723</v>
      </c>
      <c r="I135" t="s">
        <v>1729</v>
      </c>
      <c r="J135" t="s">
        <v>1925</v>
      </c>
      <c r="K135" t="s">
        <v>2374</v>
      </c>
      <c r="M135" t="s">
        <v>2454</v>
      </c>
      <c r="N135" t="s">
        <v>2727</v>
      </c>
      <c r="O135" t="s">
        <v>2728</v>
      </c>
      <c r="P135">
        <v>0</v>
      </c>
      <c r="Q135">
        <v>0</v>
      </c>
      <c r="R135" t="s">
        <v>2730</v>
      </c>
      <c r="S135" t="s">
        <v>2732</v>
      </c>
      <c r="T135" t="s">
        <v>2761</v>
      </c>
      <c r="U135" t="s">
        <v>2986</v>
      </c>
      <c r="W135" t="s">
        <v>2454</v>
      </c>
      <c r="X135" t="s">
        <v>3605</v>
      </c>
    </row>
    <row r="136" spans="1:24">
      <c r="A136">
        <f>HYPERLINK("https://www.philgeps.gov.ph/GEPSNONPILOT/Tender/SplashBidNoticeAbstractUI.aspx?menuIndex=3&amp;refID=7060726&amp;Result=3","7060726")</f>
        <v>0</v>
      </c>
      <c r="B136" t="s">
        <v>64</v>
      </c>
      <c r="C136" t="s">
        <v>464</v>
      </c>
      <c r="D136" t="s">
        <v>1018</v>
      </c>
      <c r="E136" t="s">
        <v>1191</v>
      </c>
      <c r="F136" t="s">
        <v>1712</v>
      </c>
      <c r="G136" t="s">
        <v>1716</v>
      </c>
      <c r="H136" t="s">
        <v>1723</v>
      </c>
      <c r="I136" t="s">
        <v>1729</v>
      </c>
      <c r="J136" t="s">
        <v>1874</v>
      </c>
      <c r="K136" t="s">
        <v>2366</v>
      </c>
      <c r="M136" t="s">
        <v>2454</v>
      </c>
      <c r="N136" t="s">
        <v>2727</v>
      </c>
      <c r="O136" t="s">
        <v>2728</v>
      </c>
      <c r="P136">
        <v>0</v>
      </c>
      <c r="Q136">
        <v>0</v>
      </c>
      <c r="R136" t="s">
        <v>2730</v>
      </c>
      <c r="S136" t="s">
        <v>2732</v>
      </c>
      <c r="T136" t="s">
        <v>2761</v>
      </c>
      <c r="U136" t="s">
        <v>2987</v>
      </c>
      <c r="W136" t="s">
        <v>2454</v>
      </c>
      <c r="X136" t="s">
        <v>3605</v>
      </c>
    </row>
    <row r="137" spans="1:24">
      <c r="A137">
        <f>HYPERLINK("https://www.philgeps.gov.ph/GEPSNONPILOT/Tender/SplashBidNoticeAbstractUI.aspx?menuIndex=3&amp;refID=7060872&amp;Result=3","7060872")</f>
        <v>0</v>
      </c>
      <c r="B137" t="s">
        <v>64</v>
      </c>
      <c r="C137" t="s">
        <v>465</v>
      </c>
      <c r="D137" t="s">
        <v>1018</v>
      </c>
      <c r="E137" t="s">
        <v>1192</v>
      </c>
      <c r="F137" t="s">
        <v>1712</v>
      </c>
      <c r="G137" t="s">
        <v>1716</v>
      </c>
      <c r="H137" t="s">
        <v>1722</v>
      </c>
      <c r="I137" t="s">
        <v>1756</v>
      </c>
      <c r="J137" t="s">
        <v>1926</v>
      </c>
      <c r="K137" t="s">
        <v>2359</v>
      </c>
      <c r="M137" t="s">
        <v>2454</v>
      </c>
      <c r="N137" t="s">
        <v>2727</v>
      </c>
      <c r="O137" t="s">
        <v>2728</v>
      </c>
      <c r="P137">
        <v>0</v>
      </c>
      <c r="Q137">
        <v>0</v>
      </c>
      <c r="R137" t="s">
        <v>2730</v>
      </c>
      <c r="S137" t="s">
        <v>2732</v>
      </c>
      <c r="T137" t="s">
        <v>2761</v>
      </c>
      <c r="U137" t="s">
        <v>2988</v>
      </c>
      <c r="W137" t="s">
        <v>2454</v>
      </c>
      <c r="X137" t="s">
        <v>3605</v>
      </c>
    </row>
    <row r="138" spans="1:24">
      <c r="A138">
        <f>HYPERLINK("https://www.philgeps.gov.ph/GEPSNONPILOT/Tender/SplashBidNoticeAbstractUI.aspx?menuIndex=3&amp;refID=7060624&amp;Result=3","7060624")</f>
        <v>0</v>
      </c>
      <c r="B138" t="s">
        <v>72</v>
      </c>
      <c r="C138" t="s">
        <v>466</v>
      </c>
      <c r="D138" t="s">
        <v>1023</v>
      </c>
      <c r="E138" t="s">
        <v>1193</v>
      </c>
      <c r="F138" t="s">
        <v>1712</v>
      </c>
      <c r="G138" t="s">
        <v>1717</v>
      </c>
      <c r="H138" t="s">
        <v>1722</v>
      </c>
      <c r="I138" t="s">
        <v>1764</v>
      </c>
      <c r="J138" t="s">
        <v>1927</v>
      </c>
      <c r="K138" t="s">
        <v>2359</v>
      </c>
      <c r="M138" t="s">
        <v>2462</v>
      </c>
      <c r="N138" t="s">
        <v>2727</v>
      </c>
      <c r="O138" t="s">
        <v>2728</v>
      </c>
      <c r="P138">
        <v>0</v>
      </c>
      <c r="Q138">
        <v>0</v>
      </c>
      <c r="R138" t="s">
        <v>2730</v>
      </c>
      <c r="S138" t="s">
        <v>2732</v>
      </c>
      <c r="T138" t="s">
        <v>2778</v>
      </c>
      <c r="U138" t="s">
        <v>2989</v>
      </c>
      <c r="W138" t="s">
        <v>2462</v>
      </c>
      <c r="X138" t="s">
        <v>3605</v>
      </c>
    </row>
    <row r="139" spans="1:24">
      <c r="A139">
        <f>HYPERLINK("https://www.philgeps.gov.ph/GEPSNONPILOT/Tender/SplashBidNoticeAbstractUI.aspx?menuIndex=3&amp;refID=7060728&amp;Result=3","7060728")</f>
        <v>0</v>
      </c>
      <c r="B139" t="s">
        <v>61</v>
      </c>
      <c r="C139" t="s">
        <v>467</v>
      </c>
      <c r="D139" t="s">
        <v>999</v>
      </c>
      <c r="E139" t="s">
        <v>1194</v>
      </c>
      <c r="F139" t="s">
        <v>1712</v>
      </c>
      <c r="G139" t="s">
        <v>1716</v>
      </c>
      <c r="H139" t="s">
        <v>1723</v>
      </c>
      <c r="I139" t="s">
        <v>1729</v>
      </c>
      <c r="J139" t="s">
        <v>1922</v>
      </c>
      <c r="K139" t="s">
        <v>2380</v>
      </c>
      <c r="M139" t="s">
        <v>2450</v>
      </c>
      <c r="N139" t="s">
        <v>2727</v>
      </c>
      <c r="O139" t="s">
        <v>2728</v>
      </c>
      <c r="P139">
        <v>0</v>
      </c>
      <c r="Q139">
        <v>0</v>
      </c>
      <c r="R139" t="s">
        <v>2730</v>
      </c>
      <c r="S139" t="s">
        <v>2732</v>
      </c>
      <c r="T139" t="s">
        <v>2775</v>
      </c>
      <c r="U139" t="s">
        <v>2990</v>
      </c>
      <c r="V139" t="s">
        <v>3488</v>
      </c>
      <c r="W139" t="s">
        <v>3575</v>
      </c>
      <c r="X139" t="s">
        <v>3605</v>
      </c>
    </row>
    <row r="140" spans="1:24">
      <c r="A140">
        <f>HYPERLINK("https://www.philgeps.gov.ph/GEPSNONPILOT/Tender/SplashBidNoticeAbstractUI.aspx?menuIndex=3&amp;refID=7060922&amp;Result=3","7060922")</f>
        <v>0</v>
      </c>
      <c r="B140" t="s">
        <v>61</v>
      </c>
      <c r="C140" t="s">
        <v>468</v>
      </c>
      <c r="D140" t="s">
        <v>999</v>
      </c>
      <c r="E140" t="s">
        <v>1195</v>
      </c>
      <c r="F140" t="s">
        <v>1712</v>
      </c>
      <c r="G140" t="s">
        <v>1716</v>
      </c>
      <c r="H140" t="s">
        <v>1723</v>
      </c>
      <c r="I140" t="s">
        <v>1729</v>
      </c>
      <c r="J140" t="s">
        <v>1928</v>
      </c>
      <c r="K140" t="s">
        <v>2380</v>
      </c>
      <c r="M140" t="s">
        <v>2450</v>
      </c>
      <c r="N140" t="s">
        <v>2727</v>
      </c>
      <c r="O140" t="s">
        <v>2728</v>
      </c>
      <c r="P140">
        <v>0</v>
      </c>
      <c r="Q140">
        <v>0</v>
      </c>
      <c r="R140" t="s">
        <v>2730</v>
      </c>
      <c r="S140" t="s">
        <v>2732</v>
      </c>
      <c r="T140" t="s">
        <v>2779</v>
      </c>
      <c r="U140" t="s">
        <v>2991</v>
      </c>
      <c r="V140" t="s">
        <v>3488</v>
      </c>
      <c r="W140" t="s">
        <v>3575</v>
      </c>
      <c r="X140" t="s">
        <v>3605</v>
      </c>
    </row>
    <row r="141" spans="1:24">
      <c r="A141">
        <f>HYPERLINK("https://www.philgeps.gov.ph/GEPSNONPILOT/Tender/SplashBidNoticeAbstractUI.aspx?menuIndex=3&amp;refID=7060536&amp;Result=3","7060536")</f>
        <v>0</v>
      </c>
      <c r="B141" t="s">
        <v>61</v>
      </c>
      <c r="C141" t="s">
        <v>469</v>
      </c>
      <c r="D141" t="s">
        <v>999</v>
      </c>
      <c r="E141" t="s">
        <v>1196</v>
      </c>
      <c r="F141" t="s">
        <v>1712</v>
      </c>
      <c r="G141" t="s">
        <v>1716</v>
      </c>
      <c r="H141" t="s">
        <v>1723</v>
      </c>
      <c r="I141" t="s">
        <v>1729</v>
      </c>
      <c r="J141" t="s">
        <v>1929</v>
      </c>
      <c r="K141" t="s">
        <v>2380</v>
      </c>
      <c r="M141" t="s">
        <v>2450</v>
      </c>
      <c r="N141" t="s">
        <v>2727</v>
      </c>
      <c r="O141" t="s">
        <v>2728</v>
      </c>
      <c r="P141">
        <v>0</v>
      </c>
      <c r="Q141">
        <v>0</v>
      </c>
      <c r="R141" t="s">
        <v>2730</v>
      </c>
      <c r="S141" t="s">
        <v>2732</v>
      </c>
      <c r="T141" t="s">
        <v>2775</v>
      </c>
      <c r="U141" t="s">
        <v>2992</v>
      </c>
      <c r="V141" t="s">
        <v>3488</v>
      </c>
      <c r="W141" t="s">
        <v>3575</v>
      </c>
      <c r="X141" t="s">
        <v>3605</v>
      </c>
    </row>
    <row r="142" spans="1:24">
      <c r="A142">
        <f>HYPERLINK("https://www.philgeps.gov.ph/GEPSNONPILOT/Tender/SplashBidNoticeAbstractUI.aspx?menuIndex=3&amp;refID=7060999&amp;Result=3","7060999")</f>
        <v>0</v>
      </c>
      <c r="B142" t="s">
        <v>61</v>
      </c>
      <c r="C142" t="s">
        <v>470</v>
      </c>
      <c r="D142" t="s">
        <v>999</v>
      </c>
      <c r="E142" t="s">
        <v>1197</v>
      </c>
      <c r="F142" t="s">
        <v>1712</v>
      </c>
      <c r="G142" t="s">
        <v>1716</v>
      </c>
      <c r="H142" t="s">
        <v>1723</v>
      </c>
      <c r="I142" t="s">
        <v>1729</v>
      </c>
      <c r="J142" t="s">
        <v>1930</v>
      </c>
      <c r="K142" t="s">
        <v>2380</v>
      </c>
      <c r="M142" t="s">
        <v>2450</v>
      </c>
      <c r="N142" t="s">
        <v>2727</v>
      </c>
      <c r="O142" t="s">
        <v>2728</v>
      </c>
      <c r="P142">
        <v>0</v>
      </c>
      <c r="Q142">
        <v>0</v>
      </c>
      <c r="R142" t="s">
        <v>2730</v>
      </c>
      <c r="S142" t="s">
        <v>2732</v>
      </c>
      <c r="T142" t="s">
        <v>2779</v>
      </c>
      <c r="U142" t="s">
        <v>2993</v>
      </c>
      <c r="V142" t="s">
        <v>3488</v>
      </c>
      <c r="W142" t="s">
        <v>3575</v>
      </c>
      <c r="X142" t="s">
        <v>3605</v>
      </c>
    </row>
    <row r="143" spans="1:24">
      <c r="A143">
        <f>HYPERLINK("https://www.philgeps.gov.ph/GEPSNONPILOT/Tender/SplashBidNoticeAbstractUI.aspx?menuIndex=3&amp;refID=7060998&amp;Result=3","7060998")</f>
        <v>0</v>
      </c>
      <c r="B143" t="s">
        <v>64</v>
      </c>
      <c r="C143" t="s">
        <v>471</v>
      </c>
      <c r="D143" t="s">
        <v>1018</v>
      </c>
      <c r="E143" t="s">
        <v>1198</v>
      </c>
      <c r="F143" t="s">
        <v>1712</v>
      </c>
      <c r="G143" t="s">
        <v>1718</v>
      </c>
      <c r="H143" t="s">
        <v>1722</v>
      </c>
      <c r="I143" t="s">
        <v>1743</v>
      </c>
      <c r="J143" t="s">
        <v>1931</v>
      </c>
      <c r="K143" t="s">
        <v>2359</v>
      </c>
      <c r="M143" t="s">
        <v>2454</v>
      </c>
      <c r="N143" t="s">
        <v>2727</v>
      </c>
      <c r="O143" t="s">
        <v>2728</v>
      </c>
      <c r="P143">
        <v>0</v>
      </c>
      <c r="Q143">
        <v>0</v>
      </c>
      <c r="R143" t="s">
        <v>2730</v>
      </c>
      <c r="S143" t="s">
        <v>2732</v>
      </c>
      <c r="T143" t="s">
        <v>2780</v>
      </c>
      <c r="U143" t="s">
        <v>2994</v>
      </c>
      <c r="W143" t="s">
        <v>2454</v>
      </c>
      <c r="X143" t="s">
        <v>3605</v>
      </c>
    </row>
    <row r="144" spans="1:24">
      <c r="A144">
        <f>HYPERLINK("https://www.philgeps.gov.ph/GEPSNONPILOT/Tender/SplashBidNoticeAbstractUI.aspx?menuIndex=3&amp;refID=7061226&amp;Result=3","7061226")</f>
        <v>0</v>
      </c>
      <c r="B144" t="s">
        <v>73</v>
      </c>
      <c r="C144" t="s">
        <v>472</v>
      </c>
      <c r="D144" t="s">
        <v>1024</v>
      </c>
      <c r="E144" t="s">
        <v>1199</v>
      </c>
      <c r="F144" t="s">
        <v>1712</v>
      </c>
      <c r="G144" t="s">
        <v>1716</v>
      </c>
      <c r="H144" t="s">
        <v>1723</v>
      </c>
      <c r="I144" t="s">
        <v>1729</v>
      </c>
      <c r="J144" t="s">
        <v>1932</v>
      </c>
      <c r="K144" t="s">
        <v>2365</v>
      </c>
      <c r="M144" t="s">
        <v>2463</v>
      </c>
      <c r="N144" t="s">
        <v>2727</v>
      </c>
      <c r="O144" t="s">
        <v>2728</v>
      </c>
      <c r="P144">
        <v>0</v>
      </c>
      <c r="Q144">
        <v>0</v>
      </c>
      <c r="R144" t="s">
        <v>2730</v>
      </c>
      <c r="S144" t="s">
        <v>2732</v>
      </c>
      <c r="T144" t="s">
        <v>2739</v>
      </c>
      <c r="U144" t="s">
        <v>2995</v>
      </c>
      <c r="V144" t="s">
        <v>3496</v>
      </c>
      <c r="W144" t="s">
        <v>2463</v>
      </c>
      <c r="X144" t="s">
        <v>3605</v>
      </c>
    </row>
    <row r="145" spans="1:24">
      <c r="A145">
        <f>HYPERLINK("https://www.philgeps.gov.ph/GEPSNONPILOT/Tender/SplashBidNoticeAbstractUI.aspx?menuIndex=3&amp;refID=7061190&amp;Result=3","7061190")</f>
        <v>0</v>
      </c>
      <c r="B145" t="s">
        <v>61</v>
      </c>
      <c r="C145" t="s">
        <v>473</v>
      </c>
      <c r="D145" t="s">
        <v>999</v>
      </c>
      <c r="E145" t="s">
        <v>1200</v>
      </c>
      <c r="F145" t="s">
        <v>1712</v>
      </c>
      <c r="G145" t="s">
        <v>1716</v>
      </c>
      <c r="H145" t="s">
        <v>1723</v>
      </c>
      <c r="I145" t="s">
        <v>1729</v>
      </c>
      <c r="J145" t="s">
        <v>1933</v>
      </c>
      <c r="K145" t="s">
        <v>2380</v>
      </c>
      <c r="M145" t="s">
        <v>2450</v>
      </c>
      <c r="N145" t="s">
        <v>2727</v>
      </c>
      <c r="O145" t="s">
        <v>2728</v>
      </c>
      <c r="P145">
        <v>0</v>
      </c>
      <c r="Q145">
        <v>0</v>
      </c>
      <c r="R145" t="s">
        <v>2730</v>
      </c>
      <c r="S145" t="s">
        <v>2732</v>
      </c>
      <c r="T145" t="s">
        <v>2779</v>
      </c>
      <c r="U145" t="s">
        <v>2996</v>
      </c>
      <c r="V145" t="s">
        <v>3488</v>
      </c>
      <c r="W145" t="s">
        <v>3575</v>
      </c>
      <c r="X145" t="s">
        <v>3605</v>
      </c>
    </row>
    <row r="146" spans="1:24">
      <c r="A146">
        <f>HYPERLINK("https://www.philgeps.gov.ph/GEPSNONPILOT/Tender/SplashBidNoticeAbstractUI.aspx?menuIndex=3&amp;refID=7061245&amp;Result=3","7061245")</f>
        <v>0</v>
      </c>
      <c r="B146" t="s">
        <v>74</v>
      </c>
      <c r="C146" t="s">
        <v>474</v>
      </c>
      <c r="D146" t="s">
        <v>1025</v>
      </c>
      <c r="E146" t="s">
        <v>1201</v>
      </c>
      <c r="F146" t="s">
        <v>1712</v>
      </c>
      <c r="G146" t="s">
        <v>1719</v>
      </c>
      <c r="H146" t="s">
        <v>1722</v>
      </c>
      <c r="I146" t="s">
        <v>1765</v>
      </c>
      <c r="J146" t="s">
        <v>1934</v>
      </c>
      <c r="K146" t="s">
        <v>2358</v>
      </c>
      <c r="M146" t="s">
        <v>2464</v>
      </c>
      <c r="N146" t="s">
        <v>2727</v>
      </c>
      <c r="O146" t="s">
        <v>2728</v>
      </c>
      <c r="P146">
        <v>0</v>
      </c>
      <c r="Q146">
        <v>0</v>
      </c>
      <c r="R146" t="s">
        <v>2730</v>
      </c>
      <c r="S146" t="s">
        <v>2732</v>
      </c>
      <c r="T146" t="s">
        <v>2781</v>
      </c>
      <c r="U146" t="s">
        <v>2997</v>
      </c>
      <c r="W146" t="s">
        <v>2464</v>
      </c>
      <c r="X146" t="s">
        <v>3605</v>
      </c>
    </row>
    <row r="147" spans="1:24">
      <c r="A147">
        <f>HYPERLINK("https://www.philgeps.gov.ph/GEPSNONPILOT/Tender/SplashBidNoticeAbstractUI.aspx?menuIndex=3&amp;refID=7061428&amp;Result=3","7061428")</f>
        <v>0</v>
      </c>
      <c r="B147" t="s">
        <v>75</v>
      </c>
      <c r="C147" t="s">
        <v>475</v>
      </c>
      <c r="D147" t="s">
        <v>1025</v>
      </c>
      <c r="E147" t="s">
        <v>1202</v>
      </c>
      <c r="F147" t="s">
        <v>1713</v>
      </c>
      <c r="G147" t="s">
        <v>1716</v>
      </c>
      <c r="H147" t="s">
        <v>1722</v>
      </c>
      <c r="I147" t="s">
        <v>1726</v>
      </c>
      <c r="J147" t="s">
        <v>1935</v>
      </c>
      <c r="K147" t="s">
        <v>2359</v>
      </c>
      <c r="M147" t="s">
        <v>2465</v>
      </c>
      <c r="N147" t="s">
        <v>2727</v>
      </c>
      <c r="O147" t="s">
        <v>2728</v>
      </c>
      <c r="P147">
        <v>0</v>
      </c>
      <c r="Q147">
        <v>1</v>
      </c>
      <c r="R147" t="s">
        <v>2730</v>
      </c>
      <c r="S147" t="s">
        <v>2732</v>
      </c>
      <c r="T147" t="s">
        <v>2738</v>
      </c>
      <c r="U147" t="s">
        <v>2998</v>
      </c>
      <c r="V147" t="s">
        <v>3497</v>
      </c>
      <c r="W147" t="s">
        <v>2465</v>
      </c>
      <c r="X147" t="s">
        <v>3605</v>
      </c>
    </row>
    <row r="148" spans="1:24">
      <c r="A148">
        <f>HYPERLINK("https://www.philgeps.gov.ph/GEPSNONPILOT/Tender/SplashBidNoticeAbstractUI.aspx?menuIndex=3&amp;refID=7061136&amp;Result=3","7061136")</f>
        <v>0</v>
      </c>
      <c r="B148" t="s">
        <v>61</v>
      </c>
      <c r="C148" t="s">
        <v>476</v>
      </c>
      <c r="D148" t="s">
        <v>999</v>
      </c>
      <c r="E148" t="s">
        <v>1203</v>
      </c>
      <c r="F148" t="s">
        <v>1712</v>
      </c>
      <c r="G148" t="s">
        <v>1716</v>
      </c>
      <c r="H148" t="s">
        <v>1723</v>
      </c>
      <c r="I148" t="s">
        <v>1729</v>
      </c>
      <c r="J148" t="s">
        <v>1936</v>
      </c>
      <c r="K148" t="s">
        <v>2380</v>
      </c>
      <c r="M148" t="s">
        <v>2450</v>
      </c>
      <c r="N148" t="s">
        <v>2727</v>
      </c>
      <c r="O148" t="s">
        <v>2728</v>
      </c>
      <c r="P148">
        <v>0</v>
      </c>
      <c r="Q148">
        <v>0</v>
      </c>
      <c r="R148" t="s">
        <v>2730</v>
      </c>
      <c r="S148" t="s">
        <v>2732</v>
      </c>
      <c r="T148" t="s">
        <v>2779</v>
      </c>
      <c r="U148" t="s">
        <v>2999</v>
      </c>
      <c r="V148" t="s">
        <v>3488</v>
      </c>
      <c r="W148" t="s">
        <v>3575</v>
      </c>
      <c r="X148" t="s">
        <v>3605</v>
      </c>
    </row>
    <row r="149" spans="1:24">
      <c r="A149">
        <f>HYPERLINK("https://www.philgeps.gov.ph/GEPSNONPILOT/Tender/SplashBidNoticeAbstractUI.aspx?menuIndex=3&amp;refID=7061521&amp;Result=3","7061521")</f>
        <v>0</v>
      </c>
      <c r="B149" t="s">
        <v>76</v>
      </c>
      <c r="C149" t="s">
        <v>477</v>
      </c>
      <c r="D149" t="s">
        <v>1026</v>
      </c>
      <c r="E149" t="s">
        <v>1204</v>
      </c>
      <c r="F149" t="s">
        <v>1712</v>
      </c>
      <c r="G149" t="s">
        <v>1717</v>
      </c>
      <c r="H149" t="s">
        <v>1722</v>
      </c>
      <c r="I149" t="s">
        <v>1727</v>
      </c>
      <c r="J149" t="s">
        <v>1937</v>
      </c>
      <c r="K149" t="s">
        <v>2381</v>
      </c>
      <c r="M149" t="s">
        <v>2466</v>
      </c>
      <c r="N149" t="s">
        <v>2727</v>
      </c>
      <c r="O149" t="s">
        <v>2728</v>
      </c>
      <c r="P149">
        <v>0</v>
      </c>
      <c r="Q149">
        <v>0</v>
      </c>
      <c r="R149" t="s">
        <v>2730</v>
      </c>
      <c r="S149" t="s">
        <v>2732</v>
      </c>
      <c r="T149" t="s">
        <v>2782</v>
      </c>
      <c r="U149" t="s">
        <v>3000</v>
      </c>
      <c r="W149" t="s">
        <v>2466</v>
      </c>
      <c r="X149" t="s">
        <v>3605</v>
      </c>
    </row>
    <row r="150" spans="1:24">
      <c r="A150">
        <f>HYPERLINK("https://www.philgeps.gov.ph/GEPSNONPILOT/Tender/SplashBidNoticeAbstractUI.aspx?menuIndex=3&amp;refID=7061041&amp;Result=3","7061041")</f>
        <v>0</v>
      </c>
      <c r="B150" t="s">
        <v>64</v>
      </c>
      <c r="C150" t="s">
        <v>478</v>
      </c>
      <c r="D150" t="s">
        <v>1018</v>
      </c>
      <c r="E150" t="s">
        <v>1205</v>
      </c>
      <c r="F150" t="s">
        <v>1712</v>
      </c>
      <c r="G150" t="s">
        <v>1718</v>
      </c>
      <c r="H150" t="s">
        <v>1722</v>
      </c>
      <c r="I150" t="s">
        <v>1766</v>
      </c>
      <c r="J150" t="s">
        <v>1938</v>
      </c>
      <c r="K150" t="s">
        <v>2359</v>
      </c>
      <c r="M150" t="s">
        <v>2454</v>
      </c>
      <c r="N150" t="s">
        <v>2727</v>
      </c>
      <c r="O150" t="s">
        <v>2728</v>
      </c>
      <c r="P150">
        <v>0</v>
      </c>
      <c r="Q150">
        <v>0</v>
      </c>
      <c r="R150" t="s">
        <v>2730</v>
      </c>
      <c r="S150" t="s">
        <v>2732</v>
      </c>
      <c r="T150" t="s">
        <v>2780</v>
      </c>
      <c r="U150" t="s">
        <v>3001</v>
      </c>
      <c r="W150" t="s">
        <v>2454</v>
      </c>
      <c r="X150" t="s">
        <v>3605</v>
      </c>
    </row>
    <row r="151" spans="1:24">
      <c r="A151">
        <f>HYPERLINK("https://www.philgeps.gov.ph/GEPSNONPILOT/Tender/SplashBidNoticeAbstractUI.aspx?menuIndex=3&amp;refID=7061082&amp;Result=3","7061082")</f>
        <v>0</v>
      </c>
      <c r="B151" t="s">
        <v>64</v>
      </c>
      <c r="C151" t="s">
        <v>479</v>
      </c>
      <c r="D151" t="s">
        <v>1018</v>
      </c>
      <c r="E151" t="s">
        <v>1206</v>
      </c>
      <c r="F151" t="s">
        <v>1712</v>
      </c>
      <c r="G151" t="s">
        <v>1718</v>
      </c>
      <c r="H151" t="s">
        <v>1722</v>
      </c>
      <c r="I151" t="s">
        <v>1766</v>
      </c>
      <c r="J151" t="s">
        <v>1939</v>
      </c>
      <c r="K151" t="s">
        <v>2359</v>
      </c>
      <c r="M151" t="s">
        <v>2454</v>
      </c>
      <c r="N151" t="s">
        <v>2727</v>
      </c>
      <c r="O151" t="s">
        <v>2728</v>
      </c>
      <c r="P151">
        <v>0</v>
      </c>
      <c r="Q151">
        <v>0</v>
      </c>
      <c r="R151" t="s">
        <v>2730</v>
      </c>
      <c r="S151" t="s">
        <v>2732</v>
      </c>
      <c r="T151" t="s">
        <v>2780</v>
      </c>
      <c r="U151" t="s">
        <v>3002</v>
      </c>
      <c r="W151" t="s">
        <v>2454</v>
      </c>
      <c r="X151" t="s">
        <v>3605</v>
      </c>
    </row>
    <row r="152" spans="1:24">
      <c r="A152">
        <f>HYPERLINK("https://www.philgeps.gov.ph/GEPSNONPILOT/Tender/SplashBidNoticeAbstractUI.aspx?menuIndex=3&amp;refID=7061007&amp;Result=3","7061007")</f>
        <v>0</v>
      </c>
      <c r="B152" t="s">
        <v>73</v>
      </c>
      <c r="C152" t="s">
        <v>480</v>
      </c>
      <c r="D152" t="s">
        <v>1024</v>
      </c>
      <c r="E152" t="s">
        <v>1207</v>
      </c>
      <c r="F152" t="s">
        <v>1712</v>
      </c>
      <c r="G152" t="s">
        <v>1716</v>
      </c>
      <c r="H152" t="s">
        <v>1723</v>
      </c>
      <c r="I152" t="s">
        <v>1729</v>
      </c>
      <c r="J152" t="s">
        <v>1940</v>
      </c>
      <c r="K152" t="s">
        <v>2365</v>
      </c>
      <c r="M152" t="s">
        <v>2463</v>
      </c>
      <c r="N152" t="s">
        <v>2727</v>
      </c>
      <c r="O152" t="s">
        <v>2728</v>
      </c>
      <c r="P152">
        <v>0</v>
      </c>
      <c r="Q152">
        <v>0</v>
      </c>
      <c r="R152" t="s">
        <v>2730</v>
      </c>
      <c r="S152" t="s">
        <v>2732</v>
      </c>
      <c r="T152" t="s">
        <v>2739</v>
      </c>
      <c r="U152" t="s">
        <v>3003</v>
      </c>
      <c r="V152" t="s">
        <v>3496</v>
      </c>
      <c r="W152" t="s">
        <v>2463</v>
      </c>
      <c r="X152" t="s">
        <v>3605</v>
      </c>
    </row>
    <row r="153" spans="1:24">
      <c r="A153">
        <f>HYPERLINK("https://www.philgeps.gov.ph/GEPSNONPILOT/Tender/SplashBidNoticeAbstractUI.aspx?menuIndex=3&amp;refID=7061307&amp;Result=3","7061307")</f>
        <v>0</v>
      </c>
      <c r="B153" t="s">
        <v>73</v>
      </c>
      <c r="C153" t="s">
        <v>481</v>
      </c>
      <c r="D153" t="s">
        <v>1024</v>
      </c>
      <c r="E153" t="s">
        <v>1208</v>
      </c>
      <c r="F153" t="s">
        <v>1712</v>
      </c>
      <c r="G153" t="s">
        <v>1716</v>
      </c>
      <c r="H153" t="s">
        <v>1723</v>
      </c>
      <c r="I153" t="s">
        <v>1729</v>
      </c>
      <c r="J153" t="s">
        <v>1941</v>
      </c>
      <c r="K153" t="s">
        <v>2365</v>
      </c>
      <c r="M153" t="s">
        <v>2463</v>
      </c>
      <c r="N153" t="s">
        <v>2727</v>
      </c>
      <c r="O153" t="s">
        <v>2728</v>
      </c>
      <c r="P153">
        <v>0</v>
      </c>
      <c r="Q153">
        <v>0</v>
      </c>
      <c r="R153" t="s">
        <v>2730</v>
      </c>
      <c r="S153" t="s">
        <v>2732</v>
      </c>
      <c r="T153" t="s">
        <v>2739</v>
      </c>
      <c r="U153" t="s">
        <v>3004</v>
      </c>
      <c r="V153" t="s">
        <v>3496</v>
      </c>
      <c r="W153" t="s">
        <v>2463</v>
      </c>
      <c r="X153" t="s">
        <v>3605</v>
      </c>
    </row>
    <row r="154" spans="1:24">
      <c r="A154">
        <f>HYPERLINK("https://www.philgeps.gov.ph/GEPSNONPILOT/Tender/SplashBidNoticeAbstractUI.aspx?menuIndex=3&amp;refID=7061197&amp;Result=3","7061197")</f>
        <v>0</v>
      </c>
      <c r="B154" t="s">
        <v>74</v>
      </c>
      <c r="C154" t="s">
        <v>482</v>
      </c>
      <c r="D154" t="s">
        <v>1025</v>
      </c>
      <c r="E154" t="s">
        <v>1209</v>
      </c>
      <c r="F154" t="s">
        <v>1712</v>
      </c>
      <c r="G154" t="s">
        <v>1717</v>
      </c>
      <c r="H154" t="s">
        <v>1722</v>
      </c>
      <c r="I154" t="s">
        <v>1727</v>
      </c>
      <c r="J154" t="s">
        <v>1942</v>
      </c>
      <c r="K154" t="s">
        <v>2366</v>
      </c>
      <c r="M154" t="s">
        <v>2464</v>
      </c>
      <c r="N154" t="s">
        <v>2727</v>
      </c>
      <c r="O154" t="s">
        <v>2728</v>
      </c>
      <c r="P154">
        <v>0</v>
      </c>
      <c r="Q154">
        <v>0</v>
      </c>
      <c r="R154" t="s">
        <v>2730</v>
      </c>
      <c r="S154" t="s">
        <v>2732</v>
      </c>
      <c r="T154" t="s">
        <v>2781</v>
      </c>
      <c r="U154" t="s">
        <v>2997</v>
      </c>
      <c r="W154" t="s">
        <v>2464</v>
      </c>
      <c r="X154" t="s">
        <v>3605</v>
      </c>
    </row>
    <row r="155" spans="1:24">
      <c r="A155">
        <f>HYPERLINK("https://www.philgeps.gov.ph/GEPSNONPILOT/Tender/SplashBidNoticeAbstractUI.aspx?menuIndex=3&amp;refID=7061340&amp;Result=3","7061340")</f>
        <v>0</v>
      </c>
      <c r="B155" t="s">
        <v>73</v>
      </c>
      <c r="C155" t="s">
        <v>483</v>
      </c>
      <c r="D155" t="s">
        <v>1024</v>
      </c>
      <c r="E155" t="s">
        <v>1210</v>
      </c>
      <c r="F155" t="s">
        <v>1712</v>
      </c>
      <c r="G155" t="s">
        <v>1716</v>
      </c>
      <c r="H155" t="s">
        <v>1723</v>
      </c>
      <c r="I155" t="s">
        <v>1729</v>
      </c>
      <c r="J155" t="s">
        <v>1943</v>
      </c>
      <c r="K155" t="s">
        <v>2369</v>
      </c>
      <c r="M155" t="s">
        <v>2463</v>
      </c>
      <c r="N155" t="s">
        <v>2727</v>
      </c>
      <c r="O155" t="s">
        <v>2728</v>
      </c>
      <c r="P155">
        <v>0</v>
      </c>
      <c r="Q155">
        <v>0</v>
      </c>
      <c r="R155" t="s">
        <v>2730</v>
      </c>
      <c r="S155" t="s">
        <v>2732</v>
      </c>
      <c r="T155" t="s">
        <v>2739</v>
      </c>
      <c r="U155" t="s">
        <v>3005</v>
      </c>
      <c r="V155" t="s">
        <v>3496</v>
      </c>
      <c r="W155" t="s">
        <v>2463</v>
      </c>
      <c r="X155" t="s">
        <v>3605</v>
      </c>
    </row>
    <row r="156" spans="1:24">
      <c r="A156">
        <f>HYPERLINK("https://www.philgeps.gov.ph/GEPSNONPILOT/Tender/SplashBidNoticeAbstractUI.aspx?menuIndex=3&amp;refID=7061794&amp;Result=3","7061794")</f>
        <v>0</v>
      </c>
      <c r="B156" t="s">
        <v>43</v>
      </c>
      <c r="C156" t="s">
        <v>484</v>
      </c>
      <c r="E156" t="s">
        <v>1211</v>
      </c>
      <c r="F156" t="s">
        <v>1712</v>
      </c>
      <c r="G156" t="s">
        <v>1716</v>
      </c>
      <c r="H156" t="s">
        <v>1722</v>
      </c>
      <c r="I156" t="s">
        <v>1732</v>
      </c>
      <c r="J156" t="s">
        <v>1944</v>
      </c>
      <c r="K156" t="s">
        <v>2359</v>
      </c>
      <c r="M156" t="s">
        <v>2432</v>
      </c>
      <c r="N156" t="s">
        <v>2727</v>
      </c>
      <c r="O156" t="s">
        <v>2728</v>
      </c>
      <c r="P156">
        <v>0</v>
      </c>
      <c r="Q156">
        <v>0</v>
      </c>
      <c r="R156" t="s">
        <v>2730</v>
      </c>
      <c r="S156" t="s">
        <v>2732</v>
      </c>
      <c r="T156" t="s">
        <v>2751</v>
      </c>
      <c r="U156" t="s">
        <v>3006</v>
      </c>
      <c r="W156" t="s">
        <v>2432</v>
      </c>
      <c r="X156" t="s">
        <v>3594</v>
      </c>
    </row>
    <row r="157" spans="1:24">
      <c r="A157">
        <f>HYPERLINK("https://www.philgeps.gov.ph/GEPSNONPILOT/Tender/SplashBidNoticeAbstractUI.aspx?menuIndex=3&amp;refID=7061728&amp;Result=3","7061728")</f>
        <v>0</v>
      </c>
      <c r="B157" t="s">
        <v>77</v>
      </c>
      <c r="C157" t="s">
        <v>485</v>
      </c>
      <c r="D157" t="s">
        <v>1027</v>
      </c>
      <c r="E157" t="s">
        <v>1212</v>
      </c>
      <c r="F157" t="s">
        <v>1712</v>
      </c>
      <c r="G157" t="s">
        <v>1716</v>
      </c>
      <c r="H157" t="s">
        <v>1722</v>
      </c>
      <c r="I157" t="s">
        <v>1767</v>
      </c>
      <c r="J157" t="s">
        <v>1874</v>
      </c>
      <c r="K157" t="s">
        <v>2365</v>
      </c>
      <c r="M157" t="s">
        <v>2467</v>
      </c>
      <c r="N157" t="s">
        <v>2727</v>
      </c>
      <c r="O157" t="s">
        <v>2728</v>
      </c>
      <c r="P157">
        <v>0</v>
      </c>
      <c r="Q157">
        <v>0</v>
      </c>
      <c r="R157" t="s">
        <v>2730</v>
      </c>
      <c r="S157" t="s">
        <v>2732</v>
      </c>
      <c r="T157" t="s">
        <v>2740</v>
      </c>
      <c r="U157" t="s">
        <v>3007</v>
      </c>
      <c r="W157" t="s">
        <v>2467</v>
      </c>
      <c r="X157" t="s">
        <v>3594</v>
      </c>
    </row>
    <row r="158" spans="1:24">
      <c r="A158">
        <f>HYPERLINK("https://www.philgeps.gov.ph/GEPSNONPILOT/Tender/SplashBidNoticeAbstractUI.aspx?menuIndex=3&amp;refID=7061667&amp;Result=3","7061667")</f>
        <v>0</v>
      </c>
      <c r="B158" t="s">
        <v>66</v>
      </c>
      <c r="C158" t="s">
        <v>486</v>
      </c>
      <c r="D158" t="s">
        <v>1028</v>
      </c>
      <c r="E158" t="s">
        <v>1213</v>
      </c>
      <c r="F158" t="s">
        <v>1712</v>
      </c>
      <c r="G158" t="s">
        <v>1717</v>
      </c>
      <c r="H158" t="s">
        <v>1723</v>
      </c>
      <c r="I158" t="s">
        <v>1729</v>
      </c>
      <c r="J158" t="s">
        <v>1945</v>
      </c>
      <c r="K158" t="s">
        <v>2366</v>
      </c>
      <c r="M158" t="s">
        <v>2456</v>
      </c>
      <c r="N158" t="s">
        <v>2727</v>
      </c>
      <c r="O158" t="s">
        <v>2728</v>
      </c>
      <c r="P158">
        <v>0</v>
      </c>
      <c r="Q158">
        <v>0</v>
      </c>
      <c r="R158" t="s">
        <v>2730</v>
      </c>
      <c r="S158" t="s">
        <v>2732</v>
      </c>
      <c r="T158" t="s">
        <v>2772</v>
      </c>
      <c r="U158" t="s">
        <v>3008</v>
      </c>
      <c r="W158" t="s">
        <v>3576</v>
      </c>
      <c r="X158" t="s">
        <v>3605</v>
      </c>
    </row>
    <row r="159" spans="1:24">
      <c r="A159">
        <f>HYPERLINK("https://www.philgeps.gov.ph/GEPSNONPILOT/Tender/SplashBidNoticeAbstractUI.aspx?menuIndex=3&amp;refID=7061816&amp;Result=3","7061816")</f>
        <v>0</v>
      </c>
      <c r="B159" t="s">
        <v>43</v>
      </c>
      <c r="C159" t="s">
        <v>487</v>
      </c>
      <c r="E159" t="s">
        <v>1214</v>
      </c>
      <c r="F159" t="s">
        <v>1712</v>
      </c>
      <c r="G159" t="s">
        <v>1716</v>
      </c>
      <c r="H159" t="s">
        <v>1722</v>
      </c>
      <c r="I159" t="s">
        <v>1730</v>
      </c>
      <c r="J159" t="s">
        <v>1946</v>
      </c>
      <c r="K159" t="s">
        <v>2367</v>
      </c>
      <c r="M159" t="s">
        <v>2432</v>
      </c>
      <c r="N159" t="s">
        <v>2727</v>
      </c>
      <c r="O159" t="s">
        <v>2728</v>
      </c>
      <c r="P159">
        <v>0</v>
      </c>
      <c r="Q159">
        <v>0</v>
      </c>
      <c r="R159" t="s">
        <v>2730</v>
      </c>
      <c r="S159" t="s">
        <v>2732</v>
      </c>
      <c r="T159" t="s">
        <v>2751</v>
      </c>
      <c r="U159" t="s">
        <v>3009</v>
      </c>
      <c r="W159" t="s">
        <v>2432</v>
      </c>
      <c r="X159" t="s">
        <v>3594</v>
      </c>
    </row>
    <row r="160" spans="1:24">
      <c r="A160">
        <f>HYPERLINK("https://www.philgeps.gov.ph/GEPSNONPILOT/Tender/SplashBidNoticeAbstractUI.aspx?menuIndex=3&amp;refID=7061726&amp;Result=3","7061726")</f>
        <v>0</v>
      </c>
      <c r="B160" t="s">
        <v>77</v>
      </c>
      <c r="C160" t="s">
        <v>488</v>
      </c>
      <c r="D160" t="s">
        <v>1027</v>
      </c>
      <c r="E160" t="s">
        <v>1215</v>
      </c>
      <c r="F160" t="s">
        <v>1712</v>
      </c>
      <c r="G160" t="s">
        <v>1716</v>
      </c>
      <c r="H160" t="s">
        <v>1722</v>
      </c>
      <c r="I160" t="s">
        <v>1768</v>
      </c>
      <c r="J160" t="s">
        <v>1874</v>
      </c>
      <c r="K160" t="s">
        <v>2366</v>
      </c>
      <c r="M160" t="s">
        <v>2467</v>
      </c>
      <c r="N160" t="s">
        <v>2727</v>
      </c>
      <c r="O160" t="s">
        <v>2728</v>
      </c>
      <c r="P160">
        <v>0</v>
      </c>
      <c r="Q160">
        <v>0</v>
      </c>
      <c r="R160" t="s">
        <v>2730</v>
      </c>
      <c r="S160" t="s">
        <v>2732</v>
      </c>
      <c r="T160" t="s">
        <v>2740</v>
      </c>
      <c r="U160" t="s">
        <v>3010</v>
      </c>
      <c r="W160" t="s">
        <v>2467</v>
      </c>
      <c r="X160" t="s">
        <v>3594</v>
      </c>
    </row>
    <row r="161" spans="1:24">
      <c r="A161">
        <f>HYPERLINK("https://www.philgeps.gov.ph/GEPSNONPILOT/Tender/SplashBidNoticeAbstractUI.aspx?menuIndex=3&amp;refID=7061813&amp;Result=3","7061813")</f>
        <v>0</v>
      </c>
      <c r="B161" t="s">
        <v>78</v>
      </c>
      <c r="C161" t="s">
        <v>489</v>
      </c>
      <c r="D161" t="s">
        <v>1016</v>
      </c>
      <c r="E161" t="s">
        <v>1216</v>
      </c>
      <c r="F161" t="s">
        <v>1712</v>
      </c>
      <c r="G161" t="s">
        <v>1717</v>
      </c>
      <c r="H161" t="s">
        <v>1722</v>
      </c>
      <c r="I161" t="s">
        <v>1750</v>
      </c>
      <c r="J161" t="s">
        <v>1947</v>
      </c>
      <c r="K161" t="s">
        <v>2366</v>
      </c>
      <c r="M161" t="s">
        <v>2468</v>
      </c>
      <c r="N161" t="s">
        <v>2727</v>
      </c>
      <c r="O161" t="s">
        <v>2728</v>
      </c>
      <c r="P161">
        <v>0</v>
      </c>
      <c r="Q161">
        <v>0</v>
      </c>
      <c r="R161" t="s">
        <v>2730</v>
      </c>
      <c r="S161" t="s">
        <v>2732</v>
      </c>
      <c r="T161" t="s">
        <v>2749</v>
      </c>
      <c r="U161" t="s">
        <v>3011</v>
      </c>
      <c r="W161" t="s">
        <v>2468</v>
      </c>
      <c r="X161" t="s">
        <v>3594</v>
      </c>
    </row>
    <row r="162" spans="1:24">
      <c r="A162">
        <f>HYPERLINK("https://www.philgeps.gov.ph/GEPSNONPILOT/Tender/SplashBidNoticeAbstractUI.aspx?menuIndex=3&amp;refID=7062348&amp;Result=3","7062348")</f>
        <v>0</v>
      </c>
      <c r="B162" t="s">
        <v>50</v>
      </c>
      <c r="C162" t="s">
        <v>490</v>
      </c>
      <c r="D162" t="s">
        <v>1010</v>
      </c>
      <c r="E162" t="s">
        <v>1217</v>
      </c>
      <c r="F162" t="s">
        <v>1712</v>
      </c>
      <c r="G162" t="s">
        <v>1716</v>
      </c>
      <c r="H162" t="s">
        <v>1722</v>
      </c>
      <c r="I162" t="s">
        <v>1769</v>
      </c>
      <c r="J162" t="s">
        <v>1948</v>
      </c>
      <c r="K162" t="s">
        <v>2367</v>
      </c>
      <c r="M162" t="s">
        <v>2439</v>
      </c>
      <c r="N162" t="s">
        <v>2727</v>
      </c>
      <c r="O162" t="s">
        <v>2728</v>
      </c>
      <c r="P162">
        <v>0</v>
      </c>
      <c r="Q162">
        <v>0</v>
      </c>
      <c r="R162" t="s">
        <v>2730</v>
      </c>
      <c r="S162" t="s">
        <v>2732</v>
      </c>
      <c r="T162" t="s">
        <v>2757</v>
      </c>
      <c r="U162" t="s">
        <v>3012</v>
      </c>
      <c r="W162" t="s">
        <v>2439</v>
      </c>
      <c r="X162" t="s">
        <v>3594</v>
      </c>
    </row>
    <row r="163" spans="1:24">
      <c r="A163">
        <f>HYPERLINK("https://www.philgeps.gov.ph/GEPSNONPILOT/Tender/SplashBidNoticeAbstractUI.aspx?menuIndex=3&amp;refID=7062304&amp;Result=3","7062304")</f>
        <v>0</v>
      </c>
      <c r="B163" t="s">
        <v>79</v>
      </c>
      <c r="C163" t="s">
        <v>491</v>
      </c>
      <c r="D163" t="s">
        <v>1014</v>
      </c>
      <c r="E163" t="s">
        <v>1218</v>
      </c>
      <c r="F163" t="s">
        <v>1712</v>
      </c>
      <c r="G163" t="s">
        <v>1716</v>
      </c>
      <c r="H163" t="s">
        <v>1723</v>
      </c>
      <c r="I163" t="s">
        <v>1729</v>
      </c>
      <c r="J163" t="s">
        <v>1949</v>
      </c>
      <c r="K163" t="s">
        <v>2369</v>
      </c>
      <c r="M163" t="s">
        <v>2469</v>
      </c>
      <c r="N163" t="s">
        <v>2727</v>
      </c>
      <c r="O163" t="s">
        <v>2728</v>
      </c>
      <c r="P163">
        <v>0</v>
      </c>
      <c r="Q163">
        <v>0</v>
      </c>
      <c r="R163" t="s">
        <v>2730</v>
      </c>
      <c r="S163" t="s">
        <v>2732</v>
      </c>
      <c r="T163" t="s">
        <v>2783</v>
      </c>
      <c r="U163" t="s">
        <v>3013</v>
      </c>
      <c r="W163" t="s">
        <v>2469</v>
      </c>
      <c r="X163" t="s">
        <v>3594</v>
      </c>
    </row>
    <row r="164" spans="1:24">
      <c r="A164">
        <f>HYPERLINK("https://www.philgeps.gov.ph/GEPSNONPILOT/Tender/SplashBidNoticeAbstractUI.aspx?menuIndex=3&amp;refID=7061693&amp;Result=3","7061693")</f>
        <v>0</v>
      </c>
      <c r="B164" t="s">
        <v>66</v>
      </c>
      <c r="C164" t="s">
        <v>492</v>
      </c>
      <c r="D164" t="s">
        <v>1028</v>
      </c>
      <c r="E164" t="s">
        <v>1219</v>
      </c>
      <c r="F164" t="s">
        <v>1712</v>
      </c>
      <c r="G164" t="s">
        <v>1717</v>
      </c>
      <c r="H164" t="s">
        <v>1723</v>
      </c>
      <c r="I164" t="s">
        <v>1729</v>
      </c>
      <c r="J164" t="s">
        <v>1950</v>
      </c>
      <c r="K164" t="s">
        <v>2366</v>
      </c>
      <c r="M164" t="s">
        <v>2456</v>
      </c>
      <c r="N164" t="s">
        <v>2727</v>
      </c>
      <c r="O164" t="s">
        <v>2728</v>
      </c>
      <c r="P164">
        <v>0</v>
      </c>
      <c r="Q164">
        <v>0</v>
      </c>
      <c r="R164" t="s">
        <v>2730</v>
      </c>
      <c r="S164" t="s">
        <v>2732</v>
      </c>
      <c r="T164" t="s">
        <v>2772</v>
      </c>
      <c r="U164" t="s">
        <v>3014</v>
      </c>
      <c r="W164" t="s">
        <v>3576</v>
      </c>
      <c r="X164" t="s">
        <v>3605</v>
      </c>
    </row>
    <row r="165" spans="1:24">
      <c r="A165">
        <f>HYPERLINK("https://www.philgeps.gov.ph/GEPSNONPILOT/Tender/SplashBidNoticeAbstractUI.aspx?menuIndex=3&amp;refID=7061805&amp;Result=3","7061805")</f>
        <v>0</v>
      </c>
      <c r="B165" t="s">
        <v>80</v>
      </c>
      <c r="C165" t="s">
        <v>493</v>
      </c>
      <c r="D165" t="s">
        <v>1000</v>
      </c>
      <c r="E165" t="s">
        <v>1220</v>
      </c>
      <c r="F165" t="s">
        <v>1712</v>
      </c>
      <c r="G165" t="s">
        <v>1717</v>
      </c>
      <c r="H165" t="s">
        <v>1722</v>
      </c>
      <c r="I165" t="s">
        <v>1770</v>
      </c>
      <c r="J165" t="s">
        <v>1951</v>
      </c>
      <c r="K165" t="s">
        <v>2359</v>
      </c>
      <c r="M165" t="s">
        <v>2470</v>
      </c>
      <c r="N165" t="s">
        <v>2727</v>
      </c>
      <c r="O165" t="s">
        <v>2728</v>
      </c>
      <c r="P165">
        <v>0</v>
      </c>
      <c r="Q165">
        <v>0</v>
      </c>
      <c r="R165" t="s">
        <v>2730</v>
      </c>
      <c r="S165" t="s">
        <v>2732</v>
      </c>
      <c r="T165" t="s">
        <v>2746</v>
      </c>
      <c r="U165" t="s">
        <v>3015</v>
      </c>
      <c r="W165" t="s">
        <v>2470</v>
      </c>
      <c r="X165" t="s">
        <v>3594</v>
      </c>
    </row>
    <row r="166" spans="1:24">
      <c r="A166">
        <f>HYPERLINK("https://www.philgeps.gov.ph/GEPSNONPILOT/Tender/SplashBidNoticeAbstractUI.aspx?menuIndex=3&amp;refID=7062330&amp;Result=3","7062330")</f>
        <v>0</v>
      </c>
      <c r="B166" t="s">
        <v>79</v>
      </c>
      <c r="C166" t="s">
        <v>494</v>
      </c>
      <c r="D166" t="s">
        <v>1014</v>
      </c>
      <c r="E166" t="s">
        <v>1221</v>
      </c>
      <c r="F166" t="s">
        <v>1712</v>
      </c>
      <c r="G166" t="s">
        <v>1716</v>
      </c>
      <c r="H166" t="s">
        <v>1723</v>
      </c>
      <c r="I166" t="s">
        <v>1729</v>
      </c>
      <c r="J166" t="s">
        <v>1952</v>
      </c>
      <c r="K166" t="s">
        <v>2361</v>
      </c>
      <c r="M166" t="s">
        <v>2469</v>
      </c>
      <c r="N166" t="s">
        <v>2727</v>
      </c>
      <c r="O166" t="s">
        <v>2728</v>
      </c>
      <c r="P166">
        <v>0</v>
      </c>
      <c r="Q166">
        <v>0</v>
      </c>
      <c r="R166" t="s">
        <v>2730</v>
      </c>
      <c r="S166" t="s">
        <v>2732</v>
      </c>
      <c r="T166" t="s">
        <v>2783</v>
      </c>
      <c r="U166" t="s">
        <v>3016</v>
      </c>
      <c r="W166" t="s">
        <v>2469</v>
      </c>
      <c r="X166" t="s">
        <v>3594</v>
      </c>
    </row>
    <row r="167" spans="1:24">
      <c r="A167">
        <f>HYPERLINK("https://www.philgeps.gov.ph/GEPSNONPILOT/Tender/SplashBidNoticeAbstractUI.aspx?menuIndex=3&amp;refID=7061723&amp;Result=3","7061723")</f>
        <v>0</v>
      </c>
      <c r="B167" t="s">
        <v>77</v>
      </c>
      <c r="C167" t="s">
        <v>495</v>
      </c>
      <c r="D167" t="s">
        <v>1027</v>
      </c>
      <c r="E167" t="s">
        <v>1222</v>
      </c>
      <c r="F167" t="s">
        <v>1712</v>
      </c>
      <c r="G167" t="s">
        <v>1716</v>
      </c>
      <c r="H167" t="s">
        <v>1722</v>
      </c>
      <c r="I167" t="s">
        <v>1768</v>
      </c>
      <c r="J167" t="s">
        <v>1953</v>
      </c>
      <c r="K167" t="s">
        <v>2366</v>
      </c>
      <c r="M167" t="s">
        <v>2467</v>
      </c>
      <c r="N167" t="s">
        <v>2727</v>
      </c>
      <c r="O167" t="s">
        <v>2728</v>
      </c>
      <c r="P167">
        <v>0</v>
      </c>
      <c r="Q167">
        <v>0</v>
      </c>
      <c r="R167" t="s">
        <v>2730</v>
      </c>
      <c r="S167" t="s">
        <v>2732</v>
      </c>
      <c r="T167" t="s">
        <v>2740</v>
      </c>
      <c r="U167" t="s">
        <v>3017</v>
      </c>
      <c r="W167" t="s">
        <v>2467</v>
      </c>
      <c r="X167" t="s">
        <v>3594</v>
      </c>
    </row>
    <row r="168" spans="1:24">
      <c r="A168">
        <f>HYPERLINK("https://www.philgeps.gov.ph/GEPSNONPILOT/Tender/SplashBidNoticeAbstractUI.aspx?menuIndex=3&amp;refID=7062159&amp;Result=3","7062159")</f>
        <v>0</v>
      </c>
      <c r="B168" t="s">
        <v>79</v>
      </c>
      <c r="C168" t="s">
        <v>496</v>
      </c>
      <c r="D168" t="s">
        <v>1014</v>
      </c>
      <c r="E168" t="s">
        <v>1223</v>
      </c>
      <c r="F168" t="s">
        <v>1712</v>
      </c>
      <c r="G168" t="s">
        <v>1716</v>
      </c>
      <c r="H168" t="s">
        <v>1723</v>
      </c>
      <c r="I168" t="s">
        <v>1729</v>
      </c>
      <c r="J168" t="s">
        <v>1954</v>
      </c>
      <c r="K168" t="s">
        <v>2361</v>
      </c>
      <c r="M168" t="s">
        <v>2469</v>
      </c>
      <c r="N168" t="s">
        <v>2727</v>
      </c>
      <c r="O168" t="s">
        <v>2728</v>
      </c>
      <c r="P168">
        <v>0</v>
      </c>
      <c r="Q168">
        <v>0</v>
      </c>
      <c r="R168" t="s">
        <v>2730</v>
      </c>
      <c r="S168" t="s">
        <v>2732</v>
      </c>
      <c r="T168" t="s">
        <v>2783</v>
      </c>
      <c r="U168" t="s">
        <v>3018</v>
      </c>
      <c r="W168" t="s">
        <v>2469</v>
      </c>
      <c r="X168" t="s">
        <v>3594</v>
      </c>
    </row>
    <row r="169" spans="1:24">
      <c r="A169">
        <f>HYPERLINK("https://www.philgeps.gov.ph/GEPSNONPILOT/Tender/SplashBidNoticeAbstractUI.aspx?menuIndex=3&amp;refID=7062094&amp;Result=3","7062094")</f>
        <v>0</v>
      </c>
      <c r="B169" t="s">
        <v>81</v>
      </c>
      <c r="C169" t="s">
        <v>497</v>
      </c>
      <c r="D169" t="s">
        <v>1004</v>
      </c>
      <c r="E169" t="s">
        <v>1224</v>
      </c>
      <c r="F169" t="s">
        <v>1712</v>
      </c>
      <c r="G169" t="s">
        <v>1716</v>
      </c>
      <c r="H169" t="s">
        <v>1722</v>
      </c>
      <c r="I169" t="s">
        <v>1771</v>
      </c>
      <c r="J169" t="s">
        <v>1955</v>
      </c>
      <c r="K169" t="s">
        <v>2365</v>
      </c>
      <c r="M169" t="s">
        <v>2471</v>
      </c>
      <c r="N169" t="s">
        <v>2727</v>
      </c>
      <c r="O169" t="s">
        <v>2728</v>
      </c>
      <c r="P169">
        <v>0</v>
      </c>
      <c r="Q169">
        <v>0</v>
      </c>
      <c r="R169" t="s">
        <v>2730</v>
      </c>
      <c r="S169" t="s">
        <v>2732</v>
      </c>
      <c r="T169" t="s">
        <v>2784</v>
      </c>
      <c r="U169" t="s">
        <v>3019</v>
      </c>
      <c r="W169" t="s">
        <v>2471</v>
      </c>
      <c r="X169" t="s">
        <v>3594</v>
      </c>
    </row>
    <row r="170" spans="1:24">
      <c r="A170">
        <f>HYPERLINK("https://www.philgeps.gov.ph/GEPSNONPILOT/Tender/SplashBidNoticeAbstractUI.aspx?menuIndex=3&amp;refID=7062290&amp;Result=3","7062290")</f>
        <v>0</v>
      </c>
      <c r="B170" t="s">
        <v>82</v>
      </c>
      <c r="C170" t="s">
        <v>498</v>
      </c>
      <c r="D170" t="s">
        <v>995</v>
      </c>
      <c r="E170" t="s">
        <v>1225</v>
      </c>
      <c r="F170" t="s">
        <v>1712</v>
      </c>
      <c r="G170" t="s">
        <v>1716</v>
      </c>
      <c r="H170" t="s">
        <v>1722</v>
      </c>
      <c r="I170" t="s">
        <v>1771</v>
      </c>
      <c r="J170" t="s">
        <v>1956</v>
      </c>
      <c r="K170" t="s">
        <v>2365</v>
      </c>
      <c r="M170" t="s">
        <v>2472</v>
      </c>
      <c r="N170" t="s">
        <v>2727</v>
      </c>
      <c r="O170" t="s">
        <v>2728</v>
      </c>
      <c r="P170">
        <v>0</v>
      </c>
      <c r="Q170">
        <v>0</v>
      </c>
      <c r="R170" t="s">
        <v>2730</v>
      </c>
      <c r="S170" t="s">
        <v>2732</v>
      </c>
      <c r="T170" t="s">
        <v>2785</v>
      </c>
      <c r="U170" t="s">
        <v>3020</v>
      </c>
      <c r="W170" t="s">
        <v>2472</v>
      </c>
      <c r="X170" t="s">
        <v>3594</v>
      </c>
    </row>
    <row r="171" spans="1:24">
      <c r="A171">
        <f>HYPERLINK("https://www.philgeps.gov.ph/GEPSNONPILOT/Tender/SplashBidNoticeAbstractUI.aspx?menuIndex=3&amp;refID=7062208&amp;Result=3","7062208")</f>
        <v>0</v>
      </c>
      <c r="B171" t="s">
        <v>50</v>
      </c>
      <c r="C171" t="s">
        <v>499</v>
      </c>
      <c r="D171" t="s">
        <v>1010</v>
      </c>
      <c r="E171" t="s">
        <v>1226</v>
      </c>
      <c r="F171" t="s">
        <v>1712</v>
      </c>
      <c r="G171" t="s">
        <v>1716</v>
      </c>
      <c r="H171" t="s">
        <v>1722</v>
      </c>
      <c r="I171" t="s">
        <v>1750</v>
      </c>
      <c r="J171" t="s">
        <v>1957</v>
      </c>
      <c r="K171" t="s">
        <v>2371</v>
      </c>
      <c r="M171" t="s">
        <v>2439</v>
      </c>
      <c r="N171" t="s">
        <v>2727</v>
      </c>
      <c r="O171" t="s">
        <v>2728</v>
      </c>
      <c r="P171">
        <v>0</v>
      </c>
      <c r="Q171">
        <v>0</v>
      </c>
      <c r="R171" t="s">
        <v>2730</v>
      </c>
      <c r="S171" t="s">
        <v>2732</v>
      </c>
      <c r="T171" t="s">
        <v>2757</v>
      </c>
      <c r="U171" t="s">
        <v>3021</v>
      </c>
      <c r="W171" t="s">
        <v>2439</v>
      </c>
      <c r="X171" t="s">
        <v>3594</v>
      </c>
    </row>
    <row r="172" spans="1:24">
      <c r="A172">
        <f>HYPERLINK("https://www.philgeps.gov.ph/GEPSNONPILOT/Tender/SplashBidNoticeAbstractUI.aspx?menuIndex=3&amp;refID=7062002&amp;Result=3","7062002")</f>
        <v>0</v>
      </c>
      <c r="B172" t="s">
        <v>81</v>
      </c>
      <c r="C172" t="s">
        <v>500</v>
      </c>
      <c r="D172" t="s">
        <v>1004</v>
      </c>
      <c r="E172" t="s">
        <v>1227</v>
      </c>
      <c r="F172" t="s">
        <v>1712</v>
      </c>
      <c r="G172" t="s">
        <v>1716</v>
      </c>
      <c r="H172" t="s">
        <v>1722</v>
      </c>
      <c r="I172" t="s">
        <v>1771</v>
      </c>
      <c r="J172" t="s">
        <v>1958</v>
      </c>
      <c r="K172" t="s">
        <v>2365</v>
      </c>
      <c r="M172" t="s">
        <v>2471</v>
      </c>
      <c r="N172" t="s">
        <v>2727</v>
      </c>
      <c r="O172" t="s">
        <v>2728</v>
      </c>
      <c r="P172">
        <v>0</v>
      </c>
      <c r="Q172">
        <v>0</v>
      </c>
      <c r="R172" t="s">
        <v>2730</v>
      </c>
      <c r="S172" t="s">
        <v>2732</v>
      </c>
      <c r="T172" t="s">
        <v>2784</v>
      </c>
      <c r="U172" t="s">
        <v>3022</v>
      </c>
      <c r="W172" t="s">
        <v>2471</v>
      </c>
      <c r="X172" t="s">
        <v>3594</v>
      </c>
    </row>
    <row r="173" spans="1:24">
      <c r="A173">
        <f>HYPERLINK("https://www.philgeps.gov.ph/GEPSNONPILOT/Tender/SplashBidNoticeAbstractUI.aspx?menuIndex=3&amp;refID=7062427&amp;Result=3","7062427")</f>
        <v>0</v>
      </c>
      <c r="B173" t="s">
        <v>79</v>
      </c>
      <c r="C173" t="s">
        <v>501</v>
      </c>
      <c r="D173" t="s">
        <v>1014</v>
      </c>
      <c r="E173" t="s">
        <v>1228</v>
      </c>
      <c r="F173" t="s">
        <v>1712</v>
      </c>
      <c r="G173" t="s">
        <v>1716</v>
      </c>
      <c r="H173" t="s">
        <v>1723</v>
      </c>
      <c r="I173" t="s">
        <v>1729</v>
      </c>
      <c r="J173" t="s">
        <v>1959</v>
      </c>
      <c r="K173" t="s">
        <v>2369</v>
      </c>
      <c r="M173" t="s">
        <v>2469</v>
      </c>
      <c r="N173" t="s">
        <v>2727</v>
      </c>
      <c r="O173" t="s">
        <v>2728</v>
      </c>
      <c r="P173">
        <v>0</v>
      </c>
      <c r="Q173">
        <v>0</v>
      </c>
      <c r="R173" t="s">
        <v>2730</v>
      </c>
      <c r="S173" t="s">
        <v>2732</v>
      </c>
      <c r="T173" t="s">
        <v>2783</v>
      </c>
      <c r="U173" t="s">
        <v>3023</v>
      </c>
      <c r="W173" t="s">
        <v>2469</v>
      </c>
      <c r="X173" t="s">
        <v>3594</v>
      </c>
    </row>
    <row r="174" spans="1:24">
      <c r="A174">
        <f>HYPERLINK("https://www.philgeps.gov.ph/GEPSNONPILOT/Tender/SplashBidNoticeAbstractUI.aspx?menuIndex=3&amp;refID=7062141&amp;Result=3","7062141")</f>
        <v>0</v>
      </c>
      <c r="B174" t="s">
        <v>83</v>
      </c>
      <c r="C174" t="s">
        <v>502</v>
      </c>
      <c r="D174" t="s">
        <v>1018</v>
      </c>
      <c r="E174" t="s">
        <v>1229</v>
      </c>
      <c r="F174" t="s">
        <v>1712</v>
      </c>
      <c r="G174" t="s">
        <v>1718</v>
      </c>
      <c r="H174" t="s">
        <v>1722</v>
      </c>
      <c r="I174" t="s">
        <v>1732</v>
      </c>
      <c r="J174" t="s">
        <v>1960</v>
      </c>
      <c r="K174" t="s">
        <v>2381</v>
      </c>
      <c r="M174" t="s">
        <v>2473</v>
      </c>
      <c r="N174" t="s">
        <v>2727</v>
      </c>
      <c r="O174" t="s">
        <v>2728</v>
      </c>
      <c r="P174">
        <v>0</v>
      </c>
      <c r="Q174">
        <v>1</v>
      </c>
      <c r="R174" t="s">
        <v>2730</v>
      </c>
      <c r="S174" t="s">
        <v>2732</v>
      </c>
      <c r="T174" t="s">
        <v>2786</v>
      </c>
      <c r="U174" t="s">
        <v>3024</v>
      </c>
      <c r="V174" t="s">
        <v>3498</v>
      </c>
      <c r="W174" t="s">
        <v>2473</v>
      </c>
      <c r="X174" t="s">
        <v>3594</v>
      </c>
    </row>
    <row r="175" spans="1:24">
      <c r="A175">
        <f>HYPERLINK("https://www.philgeps.gov.ph/GEPSNONPILOT/Tender/SplashBidNoticeAbstractUI.aspx?menuIndex=3&amp;refID=7061980&amp;Result=3","7061980")</f>
        <v>0</v>
      </c>
      <c r="B175" t="s">
        <v>84</v>
      </c>
      <c r="C175" t="s">
        <v>503</v>
      </c>
      <c r="D175" t="s">
        <v>1029</v>
      </c>
      <c r="E175" t="s">
        <v>1230</v>
      </c>
      <c r="F175" t="s">
        <v>1712</v>
      </c>
      <c r="G175" t="s">
        <v>1717</v>
      </c>
      <c r="H175" t="s">
        <v>1722</v>
      </c>
      <c r="I175" t="s">
        <v>1727</v>
      </c>
      <c r="J175" t="s">
        <v>1961</v>
      </c>
      <c r="K175" t="s">
        <v>2370</v>
      </c>
      <c r="M175" t="s">
        <v>2474</v>
      </c>
      <c r="N175" t="s">
        <v>2727</v>
      </c>
      <c r="O175" t="s">
        <v>2728</v>
      </c>
      <c r="P175">
        <v>0</v>
      </c>
      <c r="Q175">
        <v>0</v>
      </c>
      <c r="R175" t="s">
        <v>2730</v>
      </c>
      <c r="S175" t="s">
        <v>2732</v>
      </c>
      <c r="T175" t="s">
        <v>2787</v>
      </c>
      <c r="U175" t="s">
        <v>3025</v>
      </c>
      <c r="W175" t="s">
        <v>2474</v>
      </c>
      <c r="X175" t="s">
        <v>3594</v>
      </c>
    </row>
    <row r="176" spans="1:24">
      <c r="A176">
        <f>HYPERLINK("https://www.philgeps.gov.ph/GEPSNONPILOT/Tender/SplashBidNoticeAbstractUI.aspx?menuIndex=3&amp;refID=7062396&amp;Result=3","7062396")</f>
        <v>0</v>
      </c>
      <c r="B176" t="s">
        <v>79</v>
      </c>
      <c r="C176" t="s">
        <v>504</v>
      </c>
      <c r="D176" t="s">
        <v>1014</v>
      </c>
      <c r="E176" t="s">
        <v>1231</v>
      </c>
      <c r="F176" t="s">
        <v>1712</v>
      </c>
      <c r="G176" t="s">
        <v>1716</v>
      </c>
      <c r="H176" t="s">
        <v>1723</v>
      </c>
      <c r="I176" t="s">
        <v>1729</v>
      </c>
      <c r="J176" t="s">
        <v>1962</v>
      </c>
      <c r="K176" t="s">
        <v>2373</v>
      </c>
      <c r="M176" t="s">
        <v>2469</v>
      </c>
      <c r="N176" t="s">
        <v>2727</v>
      </c>
      <c r="O176" t="s">
        <v>2728</v>
      </c>
      <c r="P176">
        <v>0</v>
      </c>
      <c r="Q176">
        <v>0</v>
      </c>
      <c r="R176" t="s">
        <v>2730</v>
      </c>
      <c r="S176" t="s">
        <v>2732</v>
      </c>
      <c r="T176" t="s">
        <v>2783</v>
      </c>
      <c r="U176" t="s">
        <v>3026</v>
      </c>
      <c r="W176" t="s">
        <v>2469</v>
      </c>
      <c r="X176" t="s">
        <v>3594</v>
      </c>
    </row>
    <row r="177" spans="1:24">
      <c r="A177">
        <f>HYPERLINK("https://www.philgeps.gov.ph/GEPSNONPILOT/Tender/SplashBidNoticeAbstractUI.aspx?menuIndex=3&amp;refID=7061963&amp;Result=3","7061963")</f>
        <v>0</v>
      </c>
      <c r="B177" t="s">
        <v>85</v>
      </c>
      <c r="C177" t="s">
        <v>505</v>
      </c>
      <c r="D177" t="s">
        <v>1030</v>
      </c>
      <c r="E177" t="s">
        <v>1232</v>
      </c>
      <c r="F177" t="s">
        <v>1712</v>
      </c>
      <c r="G177" t="s">
        <v>1718</v>
      </c>
      <c r="H177" t="s">
        <v>1722</v>
      </c>
      <c r="I177" t="s">
        <v>1732</v>
      </c>
      <c r="J177" t="s">
        <v>1963</v>
      </c>
      <c r="K177" t="s">
        <v>2366</v>
      </c>
      <c r="M177" t="s">
        <v>2475</v>
      </c>
      <c r="N177" t="s">
        <v>2727</v>
      </c>
      <c r="O177" t="s">
        <v>2728</v>
      </c>
      <c r="P177">
        <v>0</v>
      </c>
      <c r="Q177">
        <v>0</v>
      </c>
      <c r="R177" t="s">
        <v>2730</v>
      </c>
      <c r="S177" t="s">
        <v>2732</v>
      </c>
      <c r="T177" t="s">
        <v>2788</v>
      </c>
      <c r="U177" t="s">
        <v>3027</v>
      </c>
      <c r="W177" t="s">
        <v>2475</v>
      </c>
      <c r="X177" t="s">
        <v>3594</v>
      </c>
    </row>
    <row r="178" spans="1:24">
      <c r="A178">
        <f>HYPERLINK("https://www.philgeps.gov.ph/GEPSNONPILOT/Tender/SplashBidNoticeAbstractUI.aspx?menuIndex=3&amp;refID=7062444&amp;Result=3","7062444")</f>
        <v>0</v>
      </c>
      <c r="B178" t="s">
        <v>86</v>
      </c>
      <c r="C178" t="s">
        <v>506</v>
      </c>
      <c r="D178" t="s">
        <v>1015</v>
      </c>
      <c r="E178" t="s">
        <v>1233</v>
      </c>
      <c r="F178" t="s">
        <v>1712</v>
      </c>
      <c r="G178" t="s">
        <v>1717</v>
      </c>
      <c r="H178" t="s">
        <v>1723</v>
      </c>
      <c r="I178" t="s">
        <v>1729</v>
      </c>
      <c r="J178" t="s">
        <v>1814</v>
      </c>
      <c r="K178" t="s">
        <v>2358</v>
      </c>
      <c r="M178" t="s">
        <v>2476</v>
      </c>
      <c r="N178" t="s">
        <v>2727</v>
      </c>
      <c r="O178" t="s">
        <v>2728</v>
      </c>
      <c r="P178">
        <v>0</v>
      </c>
      <c r="Q178">
        <v>0</v>
      </c>
      <c r="R178" t="s">
        <v>2730</v>
      </c>
      <c r="S178" t="s">
        <v>2732</v>
      </c>
      <c r="T178" t="s">
        <v>2789</v>
      </c>
      <c r="U178" t="s">
        <v>3028</v>
      </c>
      <c r="V178" t="s">
        <v>3499</v>
      </c>
      <c r="W178" t="s">
        <v>2476</v>
      </c>
      <c r="X178" t="s">
        <v>3594</v>
      </c>
    </row>
    <row r="179" spans="1:24">
      <c r="A179">
        <f>HYPERLINK("https://www.philgeps.gov.ph/GEPSNONPILOT/Tender/SplashBidNoticeAbstractUI.aspx?menuIndex=3&amp;refID=7062388&amp;Result=3","7062388")</f>
        <v>0</v>
      </c>
      <c r="B179" t="s">
        <v>71</v>
      </c>
      <c r="C179" t="s">
        <v>507</v>
      </c>
      <c r="D179" t="s">
        <v>995</v>
      </c>
      <c r="E179" t="s">
        <v>1234</v>
      </c>
      <c r="F179" t="s">
        <v>1712</v>
      </c>
      <c r="G179" t="s">
        <v>1716</v>
      </c>
      <c r="H179" t="s">
        <v>1723</v>
      </c>
      <c r="I179" t="s">
        <v>1729</v>
      </c>
      <c r="J179" t="s">
        <v>1964</v>
      </c>
      <c r="K179" t="s">
        <v>2382</v>
      </c>
      <c r="M179" t="s">
        <v>2461</v>
      </c>
      <c r="N179" t="s">
        <v>2727</v>
      </c>
      <c r="O179" t="s">
        <v>2728</v>
      </c>
      <c r="P179">
        <v>0</v>
      </c>
      <c r="Q179">
        <v>0</v>
      </c>
      <c r="R179" t="s">
        <v>2730</v>
      </c>
      <c r="S179" t="s">
        <v>2732</v>
      </c>
      <c r="T179" t="s">
        <v>2790</v>
      </c>
      <c r="U179" t="s">
        <v>3029</v>
      </c>
      <c r="W179" t="s">
        <v>2461</v>
      </c>
      <c r="X179" t="s">
        <v>3594</v>
      </c>
    </row>
    <row r="180" spans="1:24">
      <c r="A180">
        <f>HYPERLINK("https://www.philgeps.gov.ph/GEPSNONPILOT/Tender/SplashBidNoticeAbstractUI.aspx?menuIndex=3&amp;refID=7061973&amp;Result=3","7061973")</f>
        <v>0</v>
      </c>
      <c r="B180" t="s">
        <v>87</v>
      </c>
      <c r="C180" t="s">
        <v>508</v>
      </c>
      <c r="D180" t="s">
        <v>1031</v>
      </c>
      <c r="E180" t="s">
        <v>1235</v>
      </c>
      <c r="F180" t="s">
        <v>1712</v>
      </c>
      <c r="G180" t="s">
        <v>1717</v>
      </c>
      <c r="H180" t="s">
        <v>1722</v>
      </c>
      <c r="I180" t="s">
        <v>1763</v>
      </c>
      <c r="J180" t="s">
        <v>1857</v>
      </c>
      <c r="K180" t="s">
        <v>2359</v>
      </c>
      <c r="M180" t="s">
        <v>2477</v>
      </c>
      <c r="N180" t="s">
        <v>2727</v>
      </c>
      <c r="O180" t="s">
        <v>2728</v>
      </c>
      <c r="P180">
        <v>0</v>
      </c>
      <c r="Q180">
        <v>0</v>
      </c>
      <c r="R180" t="s">
        <v>2730</v>
      </c>
      <c r="S180" t="s">
        <v>2732</v>
      </c>
      <c r="T180" t="s">
        <v>2788</v>
      </c>
      <c r="U180" t="s">
        <v>3030</v>
      </c>
      <c r="W180" t="s">
        <v>2477</v>
      </c>
      <c r="X180" t="s">
        <v>3594</v>
      </c>
    </row>
    <row r="181" spans="1:24">
      <c r="A181">
        <f>HYPERLINK("https://www.philgeps.gov.ph/GEPSNONPILOT/Tender/SplashBidNoticeAbstractUI.aspx?menuIndex=3&amp;refID=7062416&amp;Result=3","7062416")</f>
        <v>0</v>
      </c>
      <c r="B181" t="s">
        <v>79</v>
      </c>
      <c r="C181" t="s">
        <v>509</v>
      </c>
      <c r="D181" t="s">
        <v>1014</v>
      </c>
      <c r="E181" t="s">
        <v>1236</v>
      </c>
      <c r="F181" t="s">
        <v>1712</v>
      </c>
      <c r="G181" t="s">
        <v>1716</v>
      </c>
      <c r="H181" t="s">
        <v>1723</v>
      </c>
      <c r="I181" t="s">
        <v>1729</v>
      </c>
      <c r="J181" t="s">
        <v>1965</v>
      </c>
      <c r="K181" t="s">
        <v>2369</v>
      </c>
      <c r="M181" t="s">
        <v>2469</v>
      </c>
      <c r="N181" t="s">
        <v>2727</v>
      </c>
      <c r="O181" t="s">
        <v>2728</v>
      </c>
      <c r="P181">
        <v>0</v>
      </c>
      <c r="Q181">
        <v>0</v>
      </c>
      <c r="R181" t="s">
        <v>2730</v>
      </c>
      <c r="S181" t="s">
        <v>2732</v>
      </c>
      <c r="T181" t="s">
        <v>2783</v>
      </c>
      <c r="U181" t="s">
        <v>3031</v>
      </c>
      <c r="W181" t="s">
        <v>2469</v>
      </c>
      <c r="X181" t="s">
        <v>3594</v>
      </c>
    </row>
    <row r="182" spans="1:24">
      <c r="A182">
        <f>HYPERLINK("https://www.philgeps.gov.ph/GEPSNONPILOT/Tender/SplashBidNoticeAbstractUI.aspx?menuIndex=3&amp;refID=7062512&amp;Result=3","7062512")</f>
        <v>0</v>
      </c>
      <c r="B182" t="s">
        <v>88</v>
      </c>
      <c r="C182" t="s">
        <v>510</v>
      </c>
      <c r="D182" t="s">
        <v>1020</v>
      </c>
      <c r="E182" t="s">
        <v>1237</v>
      </c>
      <c r="F182" t="s">
        <v>1712</v>
      </c>
      <c r="G182" t="s">
        <v>1716</v>
      </c>
      <c r="H182" t="s">
        <v>1722</v>
      </c>
      <c r="I182" t="s">
        <v>1727</v>
      </c>
      <c r="J182" t="s">
        <v>1966</v>
      </c>
      <c r="K182" t="s">
        <v>2358</v>
      </c>
      <c r="M182" t="s">
        <v>2478</v>
      </c>
      <c r="N182" t="s">
        <v>2727</v>
      </c>
      <c r="O182" t="s">
        <v>2728</v>
      </c>
      <c r="P182">
        <v>0</v>
      </c>
      <c r="Q182">
        <v>0</v>
      </c>
      <c r="R182" t="s">
        <v>2730</v>
      </c>
      <c r="S182" t="s">
        <v>2732</v>
      </c>
      <c r="T182" t="s">
        <v>2758</v>
      </c>
      <c r="U182" t="s">
        <v>3032</v>
      </c>
      <c r="W182" t="s">
        <v>2478</v>
      </c>
      <c r="X182" t="s">
        <v>3594</v>
      </c>
    </row>
    <row r="183" spans="1:24">
      <c r="A183">
        <f>HYPERLINK("https://www.philgeps.gov.ph/GEPSNONPILOT/Tender/SplashBidNoticeAbstractUI.aspx?menuIndex=3&amp;refID=7062452&amp;Result=3","7062452")</f>
        <v>0</v>
      </c>
      <c r="B183" t="s">
        <v>79</v>
      </c>
      <c r="C183" t="s">
        <v>511</v>
      </c>
      <c r="D183" t="s">
        <v>1014</v>
      </c>
      <c r="E183" t="s">
        <v>1238</v>
      </c>
      <c r="F183" t="s">
        <v>1712</v>
      </c>
      <c r="G183" t="s">
        <v>1716</v>
      </c>
      <c r="H183" t="s">
        <v>1723</v>
      </c>
      <c r="I183" t="s">
        <v>1729</v>
      </c>
      <c r="J183" t="s">
        <v>1967</v>
      </c>
      <c r="K183" t="s">
        <v>2361</v>
      </c>
      <c r="M183" t="s">
        <v>2469</v>
      </c>
      <c r="N183" t="s">
        <v>2727</v>
      </c>
      <c r="O183" t="s">
        <v>2728</v>
      </c>
      <c r="P183">
        <v>0</v>
      </c>
      <c r="Q183">
        <v>0</v>
      </c>
      <c r="R183" t="s">
        <v>2730</v>
      </c>
      <c r="S183" t="s">
        <v>2732</v>
      </c>
      <c r="T183" t="s">
        <v>2783</v>
      </c>
      <c r="U183" t="s">
        <v>3033</v>
      </c>
      <c r="W183" t="s">
        <v>2469</v>
      </c>
      <c r="X183" t="s">
        <v>3594</v>
      </c>
    </row>
    <row r="184" spans="1:24">
      <c r="A184">
        <f>HYPERLINK("https://www.philgeps.gov.ph/GEPSNONPILOT/Tender/SplashBidNoticeAbstractUI.aspx?menuIndex=3&amp;refID=7062368&amp;Result=3","7062368")</f>
        <v>0</v>
      </c>
      <c r="B184" t="s">
        <v>79</v>
      </c>
      <c r="C184" t="s">
        <v>512</v>
      </c>
      <c r="D184" t="s">
        <v>1014</v>
      </c>
      <c r="E184" t="s">
        <v>1239</v>
      </c>
      <c r="F184" t="s">
        <v>1712</v>
      </c>
      <c r="G184" t="s">
        <v>1716</v>
      </c>
      <c r="H184" t="s">
        <v>1723</v>
      </c>
      <c r="I184" t="s">
        <v>1729</v>
      </c>
      <c r="J184" t="s">
        <v>1968</v>
      </c>
      <c r="K184" t="s">
        <v>2369</v>
      </c>
      <c r="M184" t="s">
        <v>2469</v>
      </c>
      <c r="N184" t="s">
        <v>2727</v>
      </c>
      <c r="O184" t="s">
        <v>2728</v>
      </c>
      <c r="P184">
        <v>0</v>
      </c>
      <c r="Q184">
        <v>0</v>
      </c>
      <c r="R184" t="s">
        <v>2730</v>
      </c>
      <c r="S184" t="s">
        <v>2732</v>
      </c>
      <c r="T184" t="s">
        <v>2783</v>
      </c>
      <c r="U184" t="s">
        <v>3034</v>
      </c>
      <c r="W184" t="s">
        <v>2469</v>
      </c>
      <c r="X184" t="s">
        <v>3594</v>
      </c>
    </row>
    <row r="185" spans="1:24">
      <c r="A185">
        <f>HYPERLINK("https://www.philgeps.gov.ph/GEPSNONPILOT/Tender/SplashBidNoticeAbstractUI.aspx?menuIndex=3&amp;refID=7062442&amp;Result=3","7062442")</f>
        <v>0</v>
      </c>
      <c r="B185" t="s">
        <v>89</v>
      </c>
      <c r="C185" t="s">
        <v>513</v>
      </c>
      <c r="D185" t="s">
        <v>1032</v>
      </c>
      <c r="E185" t="s">
        <v>1240</v>
      </c>
      <c r="F185" t="s">
        <v>1712</v>
      </c>
      <c r="G185" t="s">
        <v>1718</v>
      </c>
      <c r="H185" t="s">
        <v>1722</v>
      </c>
      <c r="I185" t="s">
        <v>1732</v>
      </c>
      <c r="J185" t="s">
        <v>1969</v>
      </c>
      <c r="K185" t="s">
        <v>2367</v>
      </c>
      <c r="M185" t="s">
        <v>2479</v>
      </c>
      <c r="N185" t="s">
        <v>2727</v>
      </c>
      <c r="O185" t="s">
        <v>2728</v>
      </c>
      <c r="P185">
        <v>0</v>
      </c>
      <c r="Q185">
        <v>0</v>
      </c>
      <c r="R185" t="s">
        <v>2730</v>
      </c>
      <c r="S185" t="s">
        <v>2732</v>
      </c>
      <c r="T185" t="s">
        <v>2791</v>
      </c>
      <c r="U185" t="s">
        <v>3035</v>
      </c>
      <c r="V185" t="s">
        <v>3500</v>
      </c>
      <c r="W185" t="s">
        <v>2479</v>
      </c>
      <c r="X185" t="s">
        <v>3594</v>
      </c>
    </row>
    <row r="186" spans="1:24">
      <c r="A186">
        <f>HYPERLINK("https://www.philgeps.gov.ph/GEPSNONPILOT/Tender/SplashBidNoticeAbstractUI.aspx?menuIndex=3&amp;refID=7062470&amp;Result=3","7062470")</f>
        <v>0</v>
      </c>
      <c r="B186" t="s">
        <v>79</v>
      </c>
      <c r="C186" t="s">
        <v>514</v>
      </c>
      <c r="D186" t="s">
        <v>1014</v>
      </c>
      <c r="E186" t="s">
        <v>1241</v>
      </c>
      <c r="F186" t="s">
        <v>1712</v>
      </c>
      <c r="G186" t="s">
        <v>1716</v>
      </c>
      <c r="H186" t="s">
        <v>1723</v>
      </c>
      <c r="I186" t="s">
        <v>1729</v>
      </c>
      <c r="J186" t="s">
        <v>1970</v>
      </c>
      <c r="K186" t="s">
        <v>2383</v>
      </c>
      <c r="M186" t="s">
        <v>2469</v>
      </c>
      <c r="N186" t="s">
        <v>2727</v>
      </c>
      <c r="O186" t="s">
        <v>2728</v>
      </c>
      <c r="P186">
        <v>0</v>
      </c>
      <c r="Q186">
        <v>0</v>
      </c>
      <c r="R186" t="s">
        <v>2730</v>
      </c>
      <c r="S186" t="s">
        <v>2732</v>
      </c>
      <c r="T186" t="s">
        <v>2783</v>
      </c>
      <c r="U186" t="s">
        <v>3036</v>
      </c>
      <c r="W186" t="s">
        <v>2469</v>
      </c>
      <c r="X186" t="s">
        <v>3594</v>
      </c>
    </row>
    <row r="187" spans="1:24">
      <c r="A187">
        <f>HYPERLINK("https://www.philgeps.gov.ph/GEPSNONPILOT/Tender/SplashBidNoticeAbstractUI.aspx?menuIndex=3&amp;refID=7062457&amp;Result=3","7062457")</f>
        <v>0</v>
      </c>
      <c r="B187" t="s">
        <v>90</v>
      </c>
      <c r="C187" t="s">
        <v>515</v>
      </c>
      <c r="D187" t="s">
        <v>1030</v>
      </c>
      <c r="E187" t="s">
        <v>1242</v>
      </c>
      <c r="F187" t="s">
        <v>1712</v>
      </c>
      <c r="G187" t="s">
        <v>1716</v>
      </c>
      <c r="H187" t="s">
        <v>1722</v>
      </c>
      <c r="I187" t="s">
        <v>1726</v>
      </c>
      <c r="J187" t="s">
        <v>1971</v>
      </c>
      <c r="K187" t="s">
        <v>2384</v>
      </c>
      <c r="M187" t="s">
        <v>2480</v>
      </c>
      <c r="N187" t="s">
        <v>2727</v>
      </c>
      <c r="O187" t="s">
        <v>2728</v>
      </c>
      <c r="P187">
        <v>0</v>
      </c>
      <c r="Q187">
        <v>3</v>
      </c>
      <c r="R187" t="s">
        <v>2730</v>
      </c>
      <c r="S187" t="s">
        <v>2732</v>
      </c>
      <c r="T187" t="s">
        <v>2792</v>
      </c>
      <c r="U187" t="s">
        <v>3037</v>
      </c>
      <c r="W187" t="s">
        <v>2480</v>
      </c>
      <c r="X187" t="s">
        <v>3594</v>
      </c>
    </row>
    <row r="188" spans="1:24">
      <c r="A188">
        <f>HYPERLINK("https://www.philgeps.gov.ph/GEPSNONPILOT/Tender/SplashBidNoticeAbstractUI.aspx?menuIndex=3&amp;refID=7062494&amp;Result=3","7062494")</f>
        <v>0</v>
      </c>
      <c r="B188" t="s">
        <v>79</v>
      </c>
      <c r="C188" t="s">
        <v>516</v>
      </c>
      <c r="D188" t="s">
        <v>1014</v>
      </c>
      <c r="E188" t="s">
        <v>1243</v>
      </c>
      <c r="F188" t="s">
        <v>1712</v>
      </c>
      <c r="G188" t="s">
        <v>1716</v>
      </c>
      <c r="H188" t="s">
        <v>1723</v>
      </c>
      <c r="I188" t="s">
        <v>1729</v>
      </c>
      <c r="J188" t="s">
        <v>1972</v>
      </c>
      <c r="K188" t="s">
        <v>2361</v>
      </c>
      <c r="M188" t="s">
        <v>2469</v>
      </c>
      <c r="N188" t="s">
        <v>2727</v>
      </c>
      <c r="O188" t="s">
        <v>2728</v>
      </c>
      <c r="P188">
        <v>0</v>
      </c>
      <c r="Q188">
        <v>0</v>
      </c>
      <c r="R188" t="s">
        <v>2730</v>
      </c>
      <c r="S188" t="s">
        <v>2732</v>
      </c>
      <c r="T188" t="s">
        <v>2783</v>
      </c>
      <c r="U188" t="s">
        <v>3038</v>
      </c>
      <c r="W188" t="s">
        <v>2469</v>
      </c>
      <c r="X188" t="s">
        <v>3594</v>
      </c>
    </row>
    <row r="189" spans="1:24">
      <c r="A189">
        <f>HYPERLINK("https://www.philgeps.gov.ph/GEPSNONPILOT/Tender/SplashBidNoticeAbstractUI.aspx?menuIndex=3&amp;refID=7062513&amp;Result=3","7062513")</f>
        <v>0</v>
      </c>
      <c r="B189" t="s">
        <v>79</v>
      </c>
      <c r="C189" t="s">
        <v>517</v>
      </c>
      <c r="D189" t="s">
        <v>1014</v>
      </c>
      <c r="E189" t="s">
        <v>1244</v>
      </c>
      <c r="F189" t="s">
        <v>1712</v>
      </c>
      <c r="G189" t="s">
        <v>1716</v>
      </c>
      <c r="H189" t="s">
        <v>1723</v>
      </c>
      <c r="I189" t="s">
        <v>1729</v>
      </c>
      <c r="J189" t="s">
        <v>1973</v>
      </c>
      <c r="K189" t="s">
        <v>2369</v>
      </c>
      <c r="M189" t="s">
        <v>2469</v>
      </c>
      <c r="N189" t="s">
        <v>2727</v>
      </c>
      <c r="O189" t="s">
        <v>2728</v>
      </c>
      <c r="P189">
        <v>0</v>
      </c>
      <c r="Q189">
        <v>0</v>
      </c>
      <c r="R189" t="s">
        <v>2730</v>
      </c>
      <c r="S189" t="s">
        <v>2732</v>
      </c>
      <c r="T189" t="s">
        <v>2783</v>
      </c>
      <c r="U189" t="s">
        <v>3039</v>
      </c>
      <c r="W189" t="s">
        <v>2469</v>
      </c>
      <c r="X189" t="s">
        <v>3594</v>
      </c>
    </row>
    <row r="190" spans="1:24">
      <c r="A190">
        <f>HYPERLINK("https://www.philgeps.gov.ph/GEPSNONPILOT/Tender/SplashBidNoticeAbstractUI.aspx?menuIndex=3&amp;refID=7062456&amp;Result=3","7062456")</f>
        <v>0</v>
      </c>
      <c r="B190" t="s">
        <v>91</v>
      </c>
      <c r="C190" t="s">
        <v>518</v>
      </c>
      <c r="D190" t="s">
        <v>1014</v>
      </c>
      <c r="E190" t="s">
        <v>1245</v>
      </c>
      <c r="F190" t="s">
        <v>1712</v>
      </c>
      <c r="G190" t="s">
        <v>1717</v>
      </c>
      <c r="H190" t="s">
        <v>1722</v>
      </c>
      <c r="I190" t="s">
        <v>1754</v>
      </c>
      <c r="J190" t="s">
        <v>1974</v>
      </c>
      <c r="K190" t="s">
        <v>2367</v>
      </c>
      <c r="M190" t="s">
        <v>2481</v>
      </c>
      <c r="N190" t="s">
        <v>2727</v>
      </c>
      <c r="O190" t="s">
        <v>2728</v>
      </c>
      <c r="P190">
        <v>0</v>
      </c>
      <c r="Q190">
        <v>0</v>
      </c>
      <c r="R190" t="s">
        <v>2730</v>
      </c>
      <c r="S190" t="s">
        <v>2732</v>
      </c>
      <c r="T190" t="s">
        <v>2757</v>
      </c>
      <c r="U190" t="s">
        <v>3040</v>
      </c>
      <c r="W190" t="s">
        <v>2481</v>
      </c>
      <c r="X190" t="s">
        <v>3594</v>
      </c>
    </row>
    <row r="191" spans="1:24">
      <c r="A191">
        <f>HYPERLINK("https://www.philgeps.gov.ph/GEPSNONPILOT/Tender/SplashBidNoticeAbstractUI.aspx?menuIndex=3&amp;refID=7062639&amp;Result=3","7062639")</f>
        <v>0</v>
      </c>
      <c r="B191" t="s">
        <v>92</v>
      </c>
      <c r="C191" t="s">
        <v>519</v>
      </c>
      <c r="D191" t="s">
        <v>1033</v>
      </c>
      <c r="E191" t="s">
        <v>1246</v>
      </c>
      <c r="F191" t="s">
        <v>1712</v>
      </c>
      <c r="G191" t="s">
        <v>1717</v>
      </c>
      <c r="H191" t="s">
        <v>1722</v>
      </c>
      <c r="I191" t="s">
        <v>1772</v>
      </c>
      <c r="J191" t="s">
        <v>1975</v>
      </c>
      <c r="K191" t="s">
        <v>2367</v>
      </c>
      <c r="M191" t="s">
        <v>2482</v>
      </c>
      <c r="N191" t="s">
        <v>2727</v>
      </c>
      <c r="O191" t="s">
        <v>2728</v>
      </c>
      <c r="P191">
        <v>0</v>
      </c>
      <c r="Q191">
        <v>0</v>
      </c>
      <c r="R191" t="s">
        <v>2730</v>
      </c>
      <c r="S191" t="s">
        <v>2732</v>
      </c>
      <c r="T191" t="s">
        <v>2749</v>
      </c>
      <c r="U191" t="s">
        <v>3041</v>
      </c>
      <c r="W191" t="s">
        <v>2482</v>
      </c>
      <c r="X191" t="s">
        <v>3594</v>
      </c>
    </row>
    <row r="192" spans="1:24">
      <c r="A192">
        <f>HYPERLINK("https://www.philgeps.gov.ph/GEPSNONPILOT/Tender/SplashBidNoticeAbstractUI.aspx?menuIndex=3&amp;refID=7062624&amp;Result=3","7062624")</f>
        <v>0</v>
      </c>
      <c r="B192" t="s">
        <v>88</v>
      </c>
      <c r="C192" t="s">
        <v>520</v>
      </c>
      <c r="D192" t="s">
        <v>1020</v>
      </c>
      <c r="E192" t="s">
        <v>1247</v>
      </c>
      <c r="F192" t="s">
        <v>1712</v>
      </c>
      <c r="G192" t="s">
        <v>1716</v>
      </c>
      <c r="H192" t="s">
        <v>1722</v>
      </c>
      <c r="I192" t="s">
        <v>1727</v>
      </c>
      <c r="J192" t="s">
        <v>1976</v>
      </c>
      <c r="K192" t="s">
        <v>2358</v>
      </c>
      <c r="M192" t="s">
        <v>2478</v>
      </c>
      <c r="N192" t="s">
        <v>2727</v>
      </c>
      <c r="O192" t="s">
        <v>2728</v>
      </c>
      <c r="P192">
        <v>0</v>
      </c>
      <c r="Q192">
        <v>0</v>
      </c>
      <c r="R192" t="s">
        <v>2730</v>
      </c>
      <c r="S192" t="s">
        <v>2732</v>
      </c>
      <c r="T192" t="s">
        <v>2758</v>
      </c>
      <c r="U192" t="s">
        <v>3032</v>
      </c>
      <c r="W192" t="s">
        <v>2478</v>
      </c>
      <c r="X192" t="s">
        <v>3594</v>
      </c>
    </row>
    <row r="193" spans="1:24">
      <c r="A193">
        <f>HYPERLINK("https://www.philgeps.gov.ph/GEPSNONPILOT/Tender/SplashBidNoticeAbstractUI.aspx?menuIndex=3&amp;refID=7062603&amp;Result=3","7062603")</f>
        <v>0</v>
      </c>
      <c r="B193" t="s">
        <v>93</v>
      </c>
      <c r="C193" t="s">
        <v>521</v>
      </c>
      <c r="D193" t="s">
        <v>1005</v>
      </c>
      <c r="E193" t="s">
        <v>1248</v>
      </c>
      <c r="F193" t="s">
        <v>1712</v>
      </c>
      <c r="G193" t="s">
        <v>1716</v>
      </c>
      <c r="H193" t="s">
        <v>1722</v>
      </c>
      <c r="I193" t="s">
        <v>1727</v>
      </c>
      <c r="J193" t="s">
        <v>1977</v>
      </c>
      <c r="K193" t="s">
        <v>2367</v>
      </c>
      <c r="M193" t="s">
        <v>2483</v>
      </c>
      <c r="N193" t="s">
        <v>2727</v>
      </c>
      <c r="O193" t="s">
        <v>2728</v>
      </c>
      <c r="P193">
        <v>0</v>
      </c>
      <c r="Q193">
        <v>0</v>
      </c>
      <c r="R193" t="s">
        <v>2730</v>
      </c>
      <c r="S193" t="s">
        <v>2732</v>
      </c>
      <c r="T193" t="s">
        <v>2793</v>
      </c>
      <c r="U193" t="s">
        <v>3042</v>
      </c>
      <c r="V193" t="s">
        <v>3501</v>
      </c>
      <c r="W193" t="s">
        <v>2483</v>
      </c>
      <c r="X193" t="s">
        <v>3594</v>
      </c>
    </row>
    <row r="194" spans="1:24">
      <c r="A194">
        <f>HYPERLINK("https://www.philgeps.gov.ph/GEPSNONPILOT/Tender/SplashBidNoticeAbstractUI.aspx?menuIndex=3&amp;refID=7062636&amp;Result=3","7062636")</f>
        <v>0</v>
      </c>
      <c r="B194" t="s">
        <v>94</v>
      </c>
      <c r="C194" t="s">
        <v>522</v>
      </c>
      <c r="D194" t="s">
        <v>1018</v>
      </c>
      <c r="E194" t="s">
        <v>1249</v>
      </c>
      <c r="F194" t="s">
        <v>1712</v>
      </c>
      <c r="G194" t="s">
        <v>1716</v>
      </c>
      <c r="H194" t="s">
        <v>1722</v>
      </c>
      <c r="I194" t="s">
        <v>1742</v>
      </c>
      <c r="J194" t="s">
        <v>1978</v>
      </c>
      <c r="K194" t="s">
        <v>2360</v>
      </c>
      <c r="M194" t="s">
        <v>2484</v>
      </c>
      <c r="N194" t="s">
        <v>2727</v>
      </c>
      <c r="O194" t="s">
        <v>2728</v>
      </c>
      <c r="P194">
        <v>0</v>
      </c>
      <c r="Q194">
        <v>0</v>
      </c>
      <c r="R194" t="s">
        <v>2730</v>
      </c>
      <c r="S194" t="s">
        <v>2732</v>
      </c>
      <c r="T194" t="s">
        <v>2768</v>
      </c>
      <c r="U194" t="s">
        <v>3043</v>
      </c>
      <c r="W194" t="s">
        <v>2484</v>
      </c>
      <c r="X194" t="s">
        <v>3594</v>
      </c>
    </row>
    <row r="195" spans="1:24">
      <c r="A195">
        <f>HYPERLINK("https://www.philgeps.gov.ph/GEPSNONPILOT/Tender/SplashBidNoticeAbstractUI.aspx?menuIndex=3&amp;refID=7062690&amp;Result=3","7062690")</f>
        <v>0</v>
      </c>
      <c r="B195" t="s">
        <v>95</v>
      </c>
      <c r="C195" t="s">
        <v>523</v>
      </c>
      <c r="D195" t="s">
        <v>1014</v>
      </c>
      <c r="E195" t="s">
        <v>1250</v>
      </c>
      <c r="F195" t="s">
        <v>1712</v>
      </c>
      <c r="G195" t="s">
        <v>1716</v>
      </c>
      <c r="H195" t="s">
        <v>1722</v>
      </c>
      <c r="I195" t="s">
        <v>1760</v>
      </c>
      <c r="J195" t="s">
        <v>1979</v>
      </c>
      <c r="K195" t="s">
        <v>2372</v>
      </c>
      <c r="M195" t="s">
        <v>2485</v>
      </c>
      <c r="N195" t="s">
        <v>2727</v>
      </c>
      <c r="O195" t="s">
        <v>2728</v>
      </c>
      <c r="P195">
        <v>0</v>
      </c>
      <c r="Q195">
        <v>0</v>
      </c>
      <c r="R195" t="s">
        <v>2730</v>
      </c>
      <c r="S195" t="s">
        <v>2732</v>
      </c>
      <c r="T195" t="s">
        <v>2776</v>
      </c>
      <c r="U195" t="s">
        <v>3044</v>
      </c>
      <c r="W195" t="s">
        <v>2485</v>
      </c>
      <c r="X195" t="s">
        <v>3594</v>
      </c>
    </row>
    <row r="196" spans="1:24">
      <c r="A196">
        <f>HYPERLINK("https://www.philgeps.gov.ph/GEPSNONPILOT/Tender/SplashBidNoticeAbstractUI.aspx?menuIndex=3&amp;refID=7062579&amp;Result=3","7062579")</f>
        <v>0</v>
      </c>
      <c r="B196" t="s">
        <v>71</v>
      </c>
      <c r="C196" t="s">
        <v>524</v>
      </c>
      <c r="D196" t="s">
        <v>995</v>
      </c>
      <c r="E196" t="s">
        <v>1251</v>
      </c>
      <c r="F196" t="s">
        <v>1712</v>
      </c>
      <c r="G196" t="s">
        <v>1716</v>
      </c>
      <c r="H196" t="s">
        <v>1723</v>
      </c>
      <c r="I196" t="s">
        <v>1729</v>
      </c>
      <c r="J196" t="s">
        <v>1980</v>
      </c>
      <c r="K196" t="s">
        <v>2373</v>
      </c>
      <c r="M196" t="s">
        <v>2461</v>
      </c>
      <c r="N196" t="s">
        <v>2727</v>
      </c>
      <c r="O196" t="s">
        <v>2728</v>
      </c>
      <c r="P196">
        <v>0</v>
      </c>
      <c r="Q196">
        <v>0</v>
      </c>
      <c r="R196" t="s">
        <v>2730</v>
      </c>
      <c r="S196" t="s">
        <v>2732</v>
      </c>
      <c r="T196" t="s">
        <v>2790</v>
      </c>
      <c r="U196" t="s">
        <v>3045</v>
      </c>
      <c r="W196" t="s">
        <v>2461</v>
      </c>
      <c r="X196" t="s">
        <v>3594</v>
      </c>
    </row>
    <row r="197" spans="1:24">
      <c r="A197">
        <f>HYPERLINK("https://www.philgeps.gov.ph/GEPSNONPILOT/Tender/SplashBidNoticeAbstractUI.aspx?menuIndex=3&amp;refID=7062598&amp;Result=3","7062598")</f>
        <v>0</v>
      </c>
      <c r="B197" t="s">
        <v>96</v>
      </c>
      <c r="C197" t="s">
        <v>525</v>
      </c>
      <c r="D197" t="s">
        <v>998</v>
      </c>
      <c r="E197" t="s">
        <v>1252</v>
      </c>
      <c r="F197" t="s">
        <v>1712</v>
      </c>
      <c r="G197" t="s">
        <v>1716</v>
      </c>
      <c r="H197" t="s">
        <v>1723</v>
      </c>
      <c r="I197" t="s">
        <v>1729</v>
      </c>
      <c r="J197" t="s">
        <v>1808</v>
      </c>
      <c r="K197" t="s">
        <v>2369</v>
      </c>
      <c r="M197" t="s">
        <v>2486</v>
      </c>
      <c r="N197" t="s">
        <v>2727</v>
      </c>
      <c r="O197" t="s">
        <v>2728</v>
      </c>
      <c r="P197">
        <v>0</v>
      </c>
      <c r="Q197">
        <v>0</v>
      </c>
      <c r="R197" t="s">
        <v>2730</v>
      </c>
      <c r="S197" t="s">
        <v>2732</v>
      </c>
      <c r="T197" t="s">
        <v>2794</v>
      </c>
      <c r="U197" t="s">
        <v>3046</v>
      </c>
      <c r="W197" t="s">
        <v>2486</v>
      </c>
      <c r="X197" t="s">
        <v>3594</v>
      </c>
    </row>
    <row r="198" spans="1:24">
      <c r="A198">
        <f>HYPERLINK("https://www.philgeps.gov.ph/GEPSNONPILOT/Tender/SplashBidNoticeAbstractUI.aspx?menuIndex=3&amp;refID=7062604&amp;Result=3","7062604")</f>
        <v>0</v>
      </c>
      <c r="B198" t="s">
        <v>71</v>
      </c>
      <c r="C198" t="s">
        <v>526</v>
      </c>
      <c r="D198" t="s">
        <v>995</v>
      </c>
      <c r="E198" t="s">
        <v>1253</v>
      </c>
      <c r="F198" t="s">
        <v>1712</v>
      </c>
      <c r="G198" t="s">
        <v>1716</v>
      </c>
      <c r="H198" t="s">
        <v>1723</v>
      </c>
      <c r="I198" t="s">
        <v>1729</v>
      </c>
      <c r="J198" t="s">
        <v>1860</v>
      </c>
      <c r="K198" t="s">
        <v>2365</v>
      </c>
      <c r="M198" t="s">
        <v>2461</v>
      </c>
      <c r="N198" t="s">
        <v>2727</v>
      </c>
      <c r="O198" t="s">
        <v>2728</v>
      </c>
      <c r="P198">
        <v>0</v>
      </c>
      <c r="Q198">
        <v>0</v>
      </c>
      <c r="R198" t="s">
        <v>2730</v>
      </c>
      <c r="S198" t="s">
        <v>2732</v>
      </c>
      <c r="T198" t="s">
        <v>2790</v>
      </c>
      <c r="U198" t="s">
        <v>3047</v>
      </c>
      <c r="W198" t="s">
        <v>2461</v>
      </c>
      <c r="X198" t="s">
        <v>3594</v>
      </c>
    </row>
    <row r="199" spans="1:24">
      <c r="A199">
        <f>HYPERLINK("https://www.philgeps.gov.ph/GEPSNONPILOT/Tender/SplashBidNoticeAbstractUI.aspx?menuIndex=3&amp;refID=7062569&amp;Result=3","7062569")</f>
        <v>0</v>
      </c>
      <c r="B199" t="s">
        <v>88</v>
      </c>
      <c r="C199" t="s">
        <v>527</v>
      </c>
      <c r="D199" t="s">
        <v>1020</v>
      </c>
      <c r="E199" t="s">
        <v>1254</v>
      </c>
      <c r="F199" t="s">
        <v>1712</v>
      </c>
      <c r="G199" t="s">
        <v>1716</v>
      </c>
      <c r="H199" t="s">
        <v>1722</v>
      </c>
      <c r="I199" t="s">
        <v>1727</v>
      </c>
      <c r="J199" t="s">
        <v>1981</v>
      </c>
      <c r="K199" t="s">
        <v>2358</v>
      </c>
      <c r="M199" t="s">
        <v>2478</v>
      </c>
      <c r="N199" t="s">
        <v>2727</v>
      </c>
      <c r="O199" t="s">
        <v>2728</v>
      </c>
      <c r="P199">
        <v>0</v>
      </c>
      <c r="Q199">
        <v>0</v>
      </c>
      <c r="R199" t="s">
        <v>2730</v>
      </c>
      <c r="S199" t="s">
        <v>2732</v>
      </c>
      <c r="T199" t="s">
        <v>2758</v>
      </c>
      <c r="U199" t="s">
        <v>3032</v>
      </c>
      <c r="W199" t="s">
        <v>2478</v>
      </c>
      <c r="X199" t="s">
        <v>3594</v>
      </c>
    </row>
    <row r="200" spans="1:24">
      <c r="A200">
        <f>HYPERLINK("https://www.philgeps.gov.ph/GEPSNONPILOT/Tender/SplashBidNoticeAbstractUI.aspx?menuIndex=3&amp;refID=7062528&amp;Result=3","7062528")</f>
        <v>0</v>
      </c>
      <c r="B200" t="s">
        <v>79</v>
      </c>
      <c r="C200" t="s">
        <v>528</v>
      </c>
      <c r="D200" t="s">
        <v>1014</v>
      </c>
      <c r="E200" t="s">
        <v>1255</v>
      </c>
      <c r="F200" t="s">
        <v>1712</v>
      </c>
      <c r="G200" t="s">
        <v>1716</v>
      </c>
      <c r="H200" t="s">
        <v>1723</v>
      </c>
      <c r="I200" t="s">
        <v>1729</v>
      </c>
      <c r="J200" t="s">
        <v>1982</v>
      </c>
      <c r="K200" t="s">
        <v>2361</v>
      </c>
      <c r="M200" t="s">
        <v>2469</v>
      </c>
      <c r="N200" t="s">
        <v>2727</v>
      </c>
      <c r="O200" t="s">
        <v>2728</v>
      </c>
      <c r="P200">
        <v>0</v>
      </c>
      <c r="Q200">
        <v>0</v>
      </c>
      <c r="R200" t="s">
        <v>2730</v>
      </c>
      <c r="S200" t="s">
        <v>2732</v>
      </c>
      <c r="T200" t="s">
        <v>2783</v>
      </c>
      <c r="U200" t="s">
        <v>3048</v>
      </c>
      <c r="W200" t="s">
        <v>2469</v>
      </c>
      <c r="X200" t="s">
        <v>3594</v>
      </c>
    </row>
    <row r="201" spans="1:24">
      <c r="A201">
        <f>HYPERLINK("https://www.philgeps.gov.ph/GEPSNONPILOT/Tender/SplashBidNoticeAbstractUI.aspx?menuIndex=3&amp;refID=7062546&amp;Result=3","7062546")</f>
        <v>0</v>
      </c>
      <c r="B201" t="s">
        <v>70</v>
      </c>
      <c r="C201" t="s">
        <v>529</v>
      </c>
      <c r="D201" t="s">
        <v>1022</v>
      </c>
      <c r="E201" t="s">
        <v>1256</v>
      </c>
      <c r="F201" t="s">
        <v>1712</v>
      </c>
      <c r="G201" t="s">
        <v>1716</v>
      </c>
      <c r="H201" t="s">
        <v>1723</v>
      </c>
      <c r="I201" t="s">
        <v>1729</v>
      </c>
      <c r="J201" t="s">
        <v>1983</v>
      </c>
      <c r="K201" t="s">
        <v>2365</v>
      </c>
      <c r="M201" t="s">
        <v>2460</v>
      </c>
      <c r="N201" t="s">
        <v>2727</v>
      </c>
      <c r="O201" t="s">
        <v>2728</v>
      </c>
      <c r="P201">
        <v>0</v>
      </c>
      <c r="Q201">
        <v>0</v>
      </c>
      <c r="R201" t="s">
        <v>2730</v>
      </c>
      <c r="S201" t="s">
        <v>2732</v>
      </c>
      <c r="T201" t="s">
        <v>2777</v>
      </c>
      <c r="U201" t="s">
        <v>3049</v>
      </c>
      <c r="W201" t="s">
        <v>2460</v>
      </c>
      <c r="X201" t="s">
        <v>3594</v>
      </c>
    </row>
    <row r="202" spans="1:24">
      <c r="A202">
        <f>HYPERLINK("https://www.philgeps.gov.ph/GEPSNONPILOT/Tender/SplashBidNoticeAbstractUI.aspx?menuIndex=3&amp;refID=7062693&amp;Result=3","7062693")</f>
        <v>0</v>
      </c>
      <c r="B202" t="s">
        <v>71</v>
      </c>
      <c r="C202" t="s">
        <v>530</v>
      </c>
      <c r="D202" t="s">
        <v>995</v>
      </c>
      <c r="E202" t="s">
        <v>1257</v>
      </c>
      <c r="F202" t="s">
        <v>1712</v>
      </c>
      <c r="G202" t="s">
        <v>1716</v>
      </c>
      <c r="H202" t="s">
        <v>1723</v>
      </c>
      <c r="I202" t="s">
        <v>1729</v>
      </c>
      <c r="J202" t="s">
        <v>1860</v>
      </c>
      <c r="K202" t="s">
        <v>2385</v>
      </c>
      <c r="M202" t="s">
        <v>2461</v>
      </c>
      <c r="N202" t="s">
        <v>2727</v>
      </c>
      <c r="O202" t="s">
        <v>2728</v>
      </c>
      <c r="P202">
        <v>0</v>
      </c>
      <c r="Q202">
        <v>0</v>
      </c>
      <c r="R202" t="s">
        <v>2730</v>
      </c>
      <c r="S202" t="s">
        <v>2732</v>
      </c>
      <c r="T202" t="s">
        <v>2790</v>
      </c>
      <c r="U202" t="s">
        <v>3050</v>
      </c>
      <c r="W202" t="s">
        <v>2461</v>
      </c>
      <c r="X202" t="s">
        <v>3594</v>
      </c>
    </row>
    <row r="203" spans="1:24">
      <c r="A203">
        <f>HYPERLINK("https://www.philgeps.gov.ph/GEPSNONPILOT/Tender/SplashBidNoticeAbstractUI.aspx?menuIndex=3&amp;refID=7062729&amp;Result=3","7062729")</f>
        <v>0</v>
      </c>
      <c r="B203" t="s">
        <v>71</v>
      </c>
      <c r="C203" t="s">
        <v>531</v>
      </c>
      <c r="D203" t="s">
        <v>995</v>
      </c>
      <c r="E203" t="s">
        <v>1258</v>
      </c>
      <c r="F203" t="s">
        <v>1712</v>
      </c>
      <c r="G203" t="s">
        <v>1716</v>
      </c>
      <c r="H203" t="s">
        <v>1723</v>
      </c>
      <c r="I203" t="s">
        <v>1729</v>
      </c>
      <c r="J203" t="s">
        <v>1958</v>
      </c>
      <c r="K203" t="s">
        <v>2386</v>
      </c>
      <c r="M203" t="s">
        <v>2461</v>
      </c>
      <c r="N203" t="s">
        <v>2727</v>
      </c>
      <c r="O203" t="s">
        <v>2728</v>
      </c>
      <c r="P203">
        <v>0</v>
      </c>
      <c r="Q203">
        <v>0</v>
      </c>
      <c r="R203" t="s">
        <v>2730</v>
      </c>
      <c r="S203" t="s">
        <v>2732</v>
      </c>
      <c r="T203" t="s">
        <v>2790</v>
      </c>
      <c r="U203" t="s">
        <v>3051</v>
      </c>
      <c r="W203" t="s">
        <v>2461</v>
      </c>
      <c r="X203" t="s">
        <v>3594</v>
      </c>
    </row>
    <row r="204" spans="1:24">
      <c r="A204">
        <f>HYPERLINK("https://www.philgeps.gov.ph/GEPSNONPILOT/Tender/SplashBidNoticeAbstractUI.aspx?menuIndex=3&amp;refID=7062706&amp;Result=3","7062706")</f>
        <v>0</v>
      </c>
      <c r="B204" t="s">
        <v>71</v>
      </c>
      <c r="C204" t="s">
        <v>532</v>
      </c>
      <c r="D204" t="s">
        <v>995</v>
      </c>
      <c r="E204" t="s">
        <v>1259</v>
      </c>
      <c r="F204" t="s">
        <v>1712</v>
      </c>
      <c r="G204" t="s">
        <v>1716</v>
      </c>
      <c r="H204" t="s">
        <v>1723</v>
      </c>
      <c r="I204" t="s">
        <v>1729</v>
      </c>
      <c r="J204" t="s">
        <v>1984</v>
      </c>
      <c r="K204" t="s">
        <v>2383</v>
      </c>
      <c r="M204" t="s">
        <v>2461</v>
      </c>
      <c r="N204" t="s">
        <v>2727</v>
      </c>
      <c r="O204" t="s">
        <v>2728</v>
      </c>
      <c r="P204">
        <v>0</v>
      </c>
      <c r="Q204">
        <v>0</v>
      </c>
      <c r="R204" t="s">
        <v>2730</v>
      </c>
      <c r="S204" t="s">
        <v>2732</v>
      </c>
      <c r="T204" t="s">
        <v>2790</v>
      </c>
      <c r="U204" t="s">
        <v>3052</v>
      </c>
      <c r="W204" t="s">
        <v>2461</v>
      </c>
      <c r="X204" t="s">
        <v>3594</v>
      </c>
    </row>
    <row r="205" spans="1:24">
      <c r="A205">
        <f>HYPERLINK("https://www.philgeps.gov.ph/GEPSNONPILOT/Tender/SplashBidNoticeAbstractUI.aspx?menuIndex=3&amp;refID=7062709&amp;Result=3","7062709")</f>
        <v>0</v>
      </c>
      <c r="B205" t="s">
        <v>64</v>
      </c>
      <c r="C205" t="s">
        <v>533</v>
      </c>
      <c r="D205" t="s">
        <v>1018</v>
      </c>
      <c r="E205" t="s">
        <v>1260</v>
      </c>
      <c r="F205" t="s">
        <v>1712</v>
      </c>
      <c r="G205" t="s">
        <v>1716</v>
      </c>
      <c r="H205" t="s">
        <v>1722</v>
      </c>
      <c r="I205" t="s">
        <v>1746</v>
      </c>
      <c r="J205" t="s">
        <v>1985</v>
      </c>
      <c r="K205" t="s">
        <v>2359</v>
      </c>
      <c r="M205" t="s">
        <v>2454</v>
      </c>
      <c r="N205" t="s">
        <v>2727</v>
      </c>
      <c r="O205" t="s">
        <v>2728</v>
      </c>
      <c r="P205">
        <v>0</v>
      </c>
      <c r="Q205">
        <v>0</v>
      </c>
      <c r="R205" t="s">
        <v>2730</v>
      </c>
      <c r="S205" t="s">
        <v>2732</v>
      </c>
      <c r="T205" t="s">
        <v>2761</v>
      </c>
      <c r="U205" t="s">
        <v>3053</v>
      </c>
      <c r="W205" t="s">
        <v>2454</v>
      </c>
      <c r="X205" t="s">
        <v>3594</v>
      </c>
    </row>
    <row r="206" spans="1:24">
      <c r="A206">
        <f>HYPERLINK("https://www.philgeps.gov.ph/GEPSNONPILOT/Tender/SplashBidNoticeAbstractUI.aspx?menuIndex=3&amp;refID=7062705&amp;Result=3","7062705")</f>
        <v>0</v>
      </c>
      <c r="B206" t="s">
        <v>97</v>
      </c>
      <c r="C206" t="s">
        <v>534</v>
      </c>
      <c r="D206" t="s">
        <v>1014</v>
      </c>
      <c r="E206" t="s">
        <v>1261</v>
      </c>
      <c r="F206" t="s">
        <v>1712</v>
      </c>
      <c r="G206" t="s">
        <v>1717</v>
      </c>
      <c r="H206" t="s">
        <v>1722</v>
      </c>
      <c r="I206" t="s">
        <v>1755</v>
      </c>
      <c r="J206" t="s">
        <v>1986</v>
      </c>
      <c r="K206" t="s">
        <v>2359</v>
      </c>
      <c r="M206" t="s">
        <v>2487</v>
      </c>
      <c r="N206" t="s">
        <v>2727</v>
      </c>
      <c r="O206" t="s">
        <v>2728</v>
      </c>
      <c r="P206">
        <v>0</v>
      </c>
      <c r="Q206">
        <v>0</v>
      </c>
      <c r="R206" t="s">
        <v>2730</v>
      </c>
      <c r="S206" t="s">
        <v>2732</v>
      </c>
      <c r="T206" t="s">
        <v>2795</v>
      </c>
      <c r="U206" t="s">
        <v>3054</v>
      </c>
      <c r="V206" t="s">
        <v>3502</v>
      </c>
      <c r="W206" t="s">
        <v>2487</v>
      </c>
      <c r="X206" t="s">
        <v>3594</v>
      </c>
    </row>
    <row r="207" spans="1:24">
      <c r="A207">
        <f>HYPERLINK("https://www.philgeps.gov.ph/GEPSNONPILOT/Tender/SplashBidNoticeAbstractUI.aspx?menuIndex=3&amp;refID=7062712&amp;Result=3","7062712")</f>
        <v>0</v>
      </c>
      <c r="B207" t="s">
        <v>98</v>
      </c>
      <c r="C207" t="s">
        <v>535</v>
      </c>
      <c r="E207" t="s">
        <v>1262</v>
      </c>
      <c r="F207" t="s">
        <v>1712</v>
      </c>
      <c r="G207" t="s">
        <v>1716</v>
      </c>
      <c r="H207" t="s">
        <v>1722</v>
      </c>
      <c r="I207" t="s">
        <v>1734</v>
      </c>
      <c r="J207" t="s">
        <v>1987</v>
      </c>
      <c r="K207" t="s">
        <v>2372</v>
      </c>
      <c r="M207" t="s">
        <v>2488</v>
      </c>
      <c r="N207" t="s">
        <v>2727</v>
      </c>
      <c r="O207" t="s">
        <v>2728</v>
      </c>
      <c r="P207">
        <v>0</v>
      </c>
      <c r="Q207">
        <v>0</v>
      </c>
      <c r="R207" t="s">
        <v>2730</v>
      </c>
      <c r="S207" t="s">
        <v>2732</v>
      </c>
      <c r="T207" t="s">
        <v>2776</v>
      </c>
      <c r="U207" t="s">
        <v>3055</v>
      </c>
      <c r="W207" t="s">
        <v>2488</v>
      </c>
      <c r="X207" t="s">
        <v>3594</v>
      </c>
    </row>
    <row r="208" spans="1:24">
      <c r="A208">
        <f>HYPERLINK("https://www.philgeps.gov.ph/GEPSNONPILOT/Tender/SplashBidNoticeAbstractUI.aspx?menuIndex=3&amp;refID=7062701&amp;Result=3","7062701")</f>
        <v>0</v>
      </c>
      <c r="B208" t="s">
        <v>97</v>
      </c>
      <c r="C208" t="s">
        <v>536</v>
      </c>
      <c r="D208" t="s">
        <v>1014</v>
      </c>
      <c r="E208" t="s">
        <v>1263</v>
      </c>
      <c r="F208" t="s">
        <v>1712</v>
      </c>
      <c r="G208" t="s">
        <v>1717</v>
      </c>
      <c r="H208" t="s">
        <v>1722</v>
      </c>
      <c r="I208" t="s">
        <v>1734</v>
      </c>
      <c r="J208" t="s">
        <v>1988</v>
      </c>
      <c r="K208" t="s">
        <v>2359</v>
      </c>
      <c r="M208" t="s">
        <v>2487</v>
      </c>
      <c r="N208" t="s">
        <v>2727</v>
      </c>
      <c r="O208" t="s">
        <v>2728</v>
      </c>
      <c r="P208">
        <v>0</v>
      </c>
      <c r="Q208">
        <v>0</v>
      </c>
      <c r="R208" t="s">
        <v>2730</v>
      </c>
      <c r="S208" t="s">
        <v>2732</v>
      </c>
      <c r="T208" t="s">
        <v>2795</v>
      </c>
      <c r="U208" t="s">
        <v>3056</v>
      </c>
      <c r="V208" t="s">
        <v>3502</v>
      </c>
      <c r="W208" t="s">
        <v>2487</v>
      </c>
      <c r="X208" t="s">
        <v>3594</v>
      </c>
    </row>
    <row r="209" spans="1:24">
      <c r="A209">
        <f>HYPERLINK("https://www.philgeps.gov.ph/GEPSNONPILOT/Tender/SplashBidNoticeAbstractUI.aspx?menuIndex=3&amp;refID=7062704&amp;Result=3","7062704")</f>
        <v>0</v>
      </c>
      <c r="B209" t="s">
        <v>64</v>
      </c>
      <c r="C209" t="s">
        <v>537</v>
      </c>
      <c r="D209" t="s">
        <v>1018</v>
      </c>
      <c r="E209" t="s">
        <v>1264</v>
      </c>
      <c r="F209" t="s">
        <v>1712</v>
      </c>
      <c r="G209" t="s">
        <v>1716</v>
      </c>
      <c r="H209" t="s">
        <v>1722</v>
      </c>
      <c r="I209" t="s">
        <v>1748</v>
      </c>
      <c r="J209" t="s">
        <v>1989</v>
      </c>
      <c r="K209" t="s">
        <v>2359</v>
      </c>
      <c r="M209" t="s">
        <v>2454</v>
      </c>
      <c r="N209" t="s">
        <v>2727</v>
      </c>
      <c r="O209" t="s">
        <v>2728</v>
      </c>
      <c r="P209">
        <v>0</v>
      </c>
      <c r="Q209">
        <v>0</v>
      </c>
      <c r="R209" t="s">
        <v>2730</v>
      </c>
      <c r="S209" t="s">
        <v>2732</v>
      </c>
      <c r="T209" t="s">
        <v>2761</v>
      </c>
      <c r="U209" t="s">
        <v>3057</v>
      </c>
      <c r="W209" t="s">
        <v>2454</v>
      </c>
      <c r="X209" t="s">
        <v>3594</v>
      </c>
    </row>
    <row r="210" spans="1:24">
      <c r="A210">
        <f>HYPERLINK("https://www.philgeps.gov.ph/GEPSNONPILOT/Tender/SplashBidNoticeAbstractUI.aspx?menuIndex=3&amp;refID=7062696&amp;Result=3","7062696")</f>
        <v>0</v>
      </c>
      <c r="B210" t="s">
        <v>97</v>
      </c>
      <c r="C210" t="s">
        <v>538</v>
      </c>
      <c r="D210" t="s">
        <v>1014</v>
      </c>
      <c r="E210" t="s">
        <v>1265</v>
      </c>
      <c r="F210" t="s">
        <v>1712</v>
      </c>
      <c r="G210" t="s">
        <v>1717</v>
      </c>
      <c r="H210" t="s">
        <v>1722</v>
      </c>
      <c r="I210" t="s">
        <v>1755</v>
      </c>
      <c r="J210" t="s">
        <v>1990</v>
      </c>
      <c r="K210" t="s">
        <v>2359</v>
      </c>
      <c r="M210" t="s">
        <v>2487</v>
      </c>
      <c r="N210" t="s">
        <v>2727</v>
      </c>
      <c r="O210" t="s">
        <v>2728</v>
      </c>
      <c r="P210">
        <v>0</v>
      </c>
      <c r="Q210">
        <v>0</v>
      </c>
      <c r="R210" t="s">
        <v>2730</v>
      </c>
      <c r="S210" t="s">
        <v>2732</v>
      </c>
      <c r="T210" t="s">
        <v>2796</v>
      </c>
      <c r="U210" t="s">
        <v>3058</v>
      </c>
      <c r="V210" t="s">
        <v>3502</v>
      </c>
      <c r="W210" t="s">
        <v>2487</v>
      </c>
      <c r="X210" t="s">
        <v>3594</v>
      </c>
    </row>
    <row r="211" spans="1:24">
      <c r="A211">
        <f>HYPERLINK("https://www.philgeps.gov.ph/GEPSNONPILOT/Tender/SplashBidNoticeAbstractUI.aspx?menuIndex=3&amp;refID=7062715&amp;Result=3","7062715")</f>
        <v>0</v>
      </c>
      <c r="B211" t="s">
        <v>64</v>
      </c>
      <c r="C211" t="s">
        <v>539</v>
      </c>
      <c r="D211" t="s">
        <v>1018</v>
      </c>
      <c r="E211" t="s">
        <v>1266</v>
      </c>
      <c r="F211" t="s">
        <v>1712</v>
      </c>
      <c r="G211" t="s">
        <v>1716</v>
      </c>
      <c r="H211" t="s">
        <v>1722</v>
      </c>
      <c r="I211" t="s">
        <v>1742</v>
      </c>
      <c r="J211" t="s">
        <v>1991</v>
      </c>
      <c r="K211" t="s">
        <v>2359</v>
      </c>
      <c r="M211" t="s">
        <v>2454</v>
      </c>
      <c r="N211" t="s">
        <v>2727</v>
      </c>
      <c r="O211" t="s">
        <v>2728</v>
      </c>
      <c r="P211">
        <v>0</v>
      </c>
      <c r="Q211">
        <v>0</v>
      </c>
      <c r="R211" t="s">
        <v>2730</v>
      </c>
      <c r="S211" t="s">
        <v>2732</v>
      </c>
      <c r="T211" t="s">
        <v>2761</v>
      </c>
      <c r="U211" t="s">
        <v>3059</v>
      </c>
      <c r="W211" t="s">
        <v>2454</v>
      </c>
      <c r="X211" t="s">
        <v>3594</v>
      </c>
    </row>
    <row r="212" spans="1:24">
      <c r="A212">
        <f>HYPERLINK("https://www.philgeps.gov.ph/GEPSNONPILOT/Tender/SplashBidNoticeAbstractUI.aspx?menuIndex=3&amp;refID=7062773&amp;Result=3","7062773")</f>
        <v>0</v>
      </c>
      <c r="B212" t="s">
        <v>99</v>
      </c>
      <c r="C212" t="s">
        <v>540</v>
      </c>
      <c r="D212" t="s">
        <v>1014</v>
      </c>
      <c r="E212" t="s">
        <v>1267</v>
      </c>
      <c r="F212" t="s">
        <v>1712</v>
      </c>
      <c r="G212" t="s">
        <v>1716</v>
      </c>
      <c r="H212" t="s">
        <v>1722</v>
      </c>
      <c r="I212" t="s">
        <v>1734</v>
      </c>
      <c r="J212" t="s">
        <v>1992</v>
      </c>
      <c r="K212" t="s">
        <v>2372</v>
      </c>
      <c r="M212" t="s">
        <v>2489</v>
      </c>
      <c r="N212" t="s">
        <v>2727</v>
      </c>
      <c r="O212" t="s">
        <v>2728</v>
      </c>
      <c r="P212">
        <v>0</v>
      </c>
      <c r="Q212">
        <v>0</v>
      </c>
      <c r="R212" t="s">
        <v>2730</v>
      </c>
      <c r="S212" t="s">
        <v>2732</v>
      </c>
      <c r="T212" t="s">
        <v>2776</v>
      </c>
      <c r="U212" t="s">
        <v>3060</v>
      </c>
      <c r="W212" t="s">
        <v>2489</v>
      </c>
      <c r="X212" t="s">
        <v>3594</v>
      </c>
    </row>
    <row r="213" spans="1:24">
      <c r="A213">
        <f>HYPERLINK("https://www.philgeps.gov.ph/GEPSNONPILOT/Tender/SplashBidNoticeAbstractUI.aspx?menuIndex=3&amp;refID=7062711&amp;Result=3","7062711")</f>
        <v>0</v>
      </c>
      <c r="B213" t="s">
        <v>67</v>
      </c>
      <c r="C213" t="s">
        <v>541</v>
      </c>
      <c r="D213" t="s">
        <v>1020</v>
      </c>
      <c r="E213" t="s">
        <v>1268</v>
      </c>
      <c r="F213" t="s">
        <v>1712</v>
      </c>
      <c r="G213" t="s">
        <v>1716</v>
      </c>
      <c r="H213" t="s">
        <v>1722</v>
      </c>
      <c r="I213" t="s">
        <v>1749</v>
      </c>
      <c r="J213" t="s">
        <v>1993</v>
      </c>
      <c r="K213" t="s">
        <v>2366</v>
      </c>
      <c r="M213" t="s">
        <v>2457</v>
      </c>
      <c r="N213" t="s">
        <v>2727</v>
      </c>
      <c r="O213" t="s">
        <v>2728</v>
      </c>
      <c r="P213">
        <v>0</v>
      </c>
      <c r="Q213">
        <v>0</v>
      </c>
      <c r="R213" t="s">
        <v>2730</v>
      </c>
      <c r="S213" t="s">
        <v>2732</v>
      </c>
      <c r="T213" t="s">
        <v>2753</v>
      </c>
      <c r="U213" t="s">
        <v>3061</v>
      </c>
      <c r="W213" t="s">
        <v>2457</v>
      </c>
      <c r="X213" t="s">
        <v>3594</v>
      </c>
    </row>
    <row r="214" spans="1:24">
      <c r="A214">
        <f>HYPERLINK("https://www.philgeps.gov.ph/GEPSNONPILOT/Tender/SplashBidNoticeAbstractUI.aspx?menuIndex=3&amp;refID=7062783&amp;Result=3","7062783")</f>
        <v>0</v>
      </c>
      <c r="B214" t="s">
        <v>100</v>
      </c>
      <c r="C214" t="s">
        <v>542</v>
      </c>
      <c r="D214" t="s">
        <v>999</v>
      </c>
      <c r="E214" t="s">
        <v>1269</v>
      </c>
      <c r="F214" t="s">
        <v>1712</v>
      </c>
      <c r="G214" t="s">
        <v>1719</v>
      </c>
      <c r="H214" t="s">
        <v>1722</v>
      </c>
      <c r="I214" t="s">
        <v>1773</v>
      </c>
      <c r="J214" t="s">
        <v>1994</v>
      </c>
      <c r="K214" t="s">
        <v>2358</v>
      </c>
      <c r="M214" t="s">
        <v>2490</v>
      </c>
      <c r="N214" t="s">
        <v>2727</v>
      </c>
      <c r="O214" t="s">
        <v>2728</v>
      </c>
      <c r="P214">
        <v>0</v>
      </c>
      <c r="Q214">
        <v>0</v>
      </c>
      <c r="R214" t="s">
        <v>2730</v>
      </c>
      <c r="S214" t="s">
        <v>2732</v>
      </c>
      <c r="T214" t="s">
        <v>2774</v>
      </c>
      <c r="U214" t="s">
        <v>3062</v>
      </c>
      <c r="W214" t="s">
        <v>3577</v>
      </c>
      <c r="X214" t="s">
        <v>3594</v>
      </c>
    </row>
    <row r="215" spans="1:24">
      <c r="A215">
        <f>HYPERLINK("https://www.philgeps.gov.ph/GEPSNONPILOT/Tender/SplashBidNoticeAbstractUI.aspx?menuIndex=3&amp;refID=7062753&amp;Result=3","7062753")</f>
        <v>0</v>
      </c>
      <c r="B215" t="s">
        <v>101</v>
      </c>
      <c r="C215" t="s">
        <v>540</v>
      </c>
      <c r="D215" t="s">
        <v>1014</v>
      </c>
      <c r="E215" t="s">
        <v>1270</v>
      </c>
      <c r="F215" t="s">
        <v>1712</v>
      </c>
      <c r="G215" t="s">
        <v>1716</v>
      </c>
      <c r="H215" t="s">
        <v>1722</v>
      </c>
      <c r="I215" t="s">
        <v>1734</v>
      </c>
      <c r="J215" t="s">
        <v>1995</v>
      </c>
      <c r="K215" t="s">
        <v>2372</v>
      </c>
      <c r="M215" t="s">
        <v>2491</v>
      </c>
      <c r="N215" t="s">
        <v>2727</v>
      </c>
      <c r="O215" t="s">
        <v>2728</v>
      </c>
      <c r="P215">
        <v>0</v>
      </c>
      <c r="Q215">
        <v>0</v>
      </c>
      <c r="R215" t="s">
        <v>2730</v>
      </c>
      <c r="S215" t="s">
        <v>2732</v>
      </c>
      <c r="T215" t="s">
        <v>2776</v>
      </c>
      <c r="U215" t="s">
        <v>3063</v>
      </c>
      <c r="W215" t="s">
        <v>2491</v>
      </c>
      <c r="X215" t="s">
        <v>3594</v>
      </c>
    </row>
    <row r="216" spans="1:24">
      <c r="A216">
        <f>HYPERLINK("https://www.philgeps.gov.ph/GEPSNONPILOT/Tender/SplashBidNoticeAbstractUI.aspx?menuIndex=3&amp;refID=7062927&amp;Result=3","7062927")</f>
        <v>0</v>
      </c>
      <c r="B216" t="s">
        <v>93</v>
      </c>
      <c r="C216" t="s">
        <v>543</v>
      </c>
      <c r="D216" t="s">
        <v>1005</v>
      </c>
      <c r="E216" t="s">
        <v>1271</v>
      </c>
      <c r="F216" t="s">
        <v>1712</v>
      </c>
      <c r="G216" t="s">
        <v>1716</v>
      </c>
      <c r="H216" t="s">
        <v>1722</v>
      </c>
      <c r="I216" t="s">
        <v>1727</v>
      </c>
      <c r="J216" t="s">
        <v>1996</v>
      </c>
      <c r="K216" t="s">
        <v>2367</v>
      </c>
      <c r="M216" t="s">
        <v>2483</v>
      </c>
      <c r="N216" t="s">
        <v>2727</v>
      </c>
      <c r="O216" t="s">
        <v>2728</v>
      </c>
      <c r="P216">
        <v>0</v>
      </c>
      <c r="Q216">
        <v>0</v>
      </c>
      <c r="R216" t="s">
        <v>2730</v>
      </c>
      <c r="S216" t="s">
        <v>2732</v>
      </c>
      <c r="T216" t="s">
        <v>2793</v>
      </c>
      <c r="U216" t="s">
        <v>3064</v>
      </c>
      <c r="V216" t="s">
        <v>3503</v>
      </c>
      <c r="W216" t="s">
        <v>2483</v>
      </c>
      <c r="X216" t="s">
        <v>3594</v>
      </c>
    </row>
    <row r="217" spans="1:24">
      <c r="A217">
        <f>HYPERLINK("https://www.philgeps.gov.ph/GEPSNONPILOT/Tender/SplashBidNoticeAbstractUI.aspx?menuIndex=3&amp;refID=7062757&amp;Result=3","7062757")</f>
        <v>0</v>
      </c>
      <c r="B217" t="s">
        <v>71</v>
      </c>
      <c r="C217" t="s">
        <v>544</v>
      </c>
      <c r="D217" t="s">
        <v>995</v>
      </c>
      <c r="E217" t="s">
        <v>1272</v>
      </c>
      <c r="F217" t="s">
        <v>1712</v>
      </c>
      <c r="G217" t="s">
        <v>1716</v>
      </c>
      <c r="H217" t="s">
        <v>1723</v>
      </c>
      <c r="I217" t="s">
        <v>1729</v>
      </c>
      <c r="J217" t="s">
        <v>1997</v>
      </c>
      <c r="K217" t="s">
        <v>2387</v>
      </c>
      <c r="M217" t="s">
        <v>2461</v>
      </c>
      <c r="N217" t="s">
        <v>2727</v>
      </c>
      <c r="O217" t="s">
        <v>2728</v>
      </c>
      <c r="P217">
        <v>0</v>
      </c>
      <c r="Q217">
        <v>0</v>
      </c>
      <c r="R217" t="s">
        <v>2730</v>
      </c>
      <c r="S217" t="s">
        <v>2732</v>
      </c>
      <c r="T217" t="s">
        <v>2797</v>
      </c>
      <c r="U217" t="s">
        <v>3065</v>
      </c>
      <c r="W217" t="s">
        <v>2461</v>
      </c>
      <c r="X217" t="s">
        <v>3594</v>
      </c>
    </row>
    <row r="218" spans="1:24">
      <c r="A218">
        <f>HYPERLINK("https://www.philgeps.gov.ph/GEPSNONPILOT/Tender/SplashBidNoticeAbstractUI.aspx?menuIndex=3&amp;refID=7062723&amp;Result=3","7062723")</f>
        <v>0</v>
      </c>
      <c r="B218" t="s">
        <v>64</v>
      </c>
      <c r="C218" t="s">
        <v>545</v>
      </c>
      <c r="D218" t="s">
        <v>1018</v>
      </c>
      <c r="E218" t="s">
        <v>1273</v>
      </c>
      <c r="F218" t="s">
        <v>1712</v>
      </c>
      <c r="G218" t="s">
        <v>1716</v>
      </c>
      <c r="H218" t="s">
        <v>1722</v>
      </c>
      <c r="I218" t="s">
        <v>1750</v>
      </c>
      <c r="J218" t="s">
        <v>1998</v>
      </c>
      <c r="K218" t="s">
        <v>2359</v>
      </c>
      <c r="M218" t="s">
        <v>2454</v>
      </c>
      <c r="N218" t="s">
        <v>2727</v>
      </c>
      <c r="O218" t="s">
        <v>2728</v>
      </c>
      <c r="P218">
        <v>0</v>
      </c>
      <c r="Q218">
        <v>0</v>
      </c>
      <c r="R218" t="s">
        <v>2730</v>
      </c>
      <c r="S218" t="s">
        <v>2732</v>
      </c>
      <c r="T218" t="s">
        <v>2761</v>
      </c>
      <c r="U218" t="s">
        <v>3066</v>
      </c>
      <c r="W218" t="s">
        <v>2454</v>
      </c>
      <c r="X218" t="s">
        <v>3594</v>
      </c>
    </row>
    <row r="219" spans="1:24">
      <c r="A219">
        <f>HYPERLINK("https://www.philgeps.gov.ph/GEPSNONPILOT/Tender/SplashBidNoticeAbstractUI.aspx?menuIndex=3&amp;refID=7062745&amp;Result=3","7062745")</f>
        <v>0</v>
      </c>
      <c r="B219" t="s">
        <v>85</v>
      </c>
      <c r="C219" t="s">
        <v>546</v>
      </c>
      <c r="D219" t="s">
        <v>1030</v>
      </c>
      <c r="E219" t="s">
        <v>1274</v>
      </c>
      <c r="F219" t="s">
        <v>1712</v>
      </c>
      <c r="G219" t="s">
        <v>1716</v>
      </c>
      <c r="H219" t="s">
        <v>1722</v>
      </c>
      <c r="I219" t="s">
        <v>1738</v>
      </c>
      <c r="J219" t="s">
        <v>1999</v>
      </c>
      <c r="K219" t="s">
        <v>2365</v>
      </c>
      <c r="M219" t="s">
        <v>2475</v>
      </c>
      <c r="N219" t="s">
        <v>2727</v>
      </c>
      <c r="O219" t="s">
        <v>2728</v>
      </c>
      <c r="P219">
        <v>0</v>
      </c>
      <c r="Q219">
        <v>0</v>
      </c>
      <c r="R219" t="s">
        <v>2730</v>
      </c>
      <c r="S219" t="s">
        <v>2732</v>
      </c>
      <c r="T219" t="s">
        <v>2798</v>
      </c>
      <c r="U219" t="s">
        <v>3067</v>
      </c>
      <c r="W219" t="s">
        <v>2475</v>
      </c>
      <c r="X219" t="s">
        <v>3594</v>
      </c>
    </row>
    <row r="220" spans="1:24">
      <c r="A220">
        <f>HYPERLINK("https://www.philgeps.gov.ph/GEPSNONPILOT/Tender/SplashBidNoticeAbstractUI.aspx?menuIndex=3&amp;refID=7062743&amp;Result=3","7062743")</f>
        <v>0</v>
      </c>
      <c r="B220" t="s">
        <v>64</v>
      </c>
      <c r="C220" t="s">
        <v>547</v>
      </c>
      <c r="D220" t="s">
        <v>1018</v>
      </c>
      <c r="E220" t="s">
        <v>1275</v>
      </c>
      <c r="F220" t="s">
        <v>1712</v>
      </c>
      <c r="G220" t="s">
        <v>1718</v>
      </c>
      <c r="H220" t="s">
        <v>1722</v>
      </c>
      <c r="I220" t="s">
        <v>1774</v>
      </c>
      <c r="J220" t="s">
        <v>2000</v>
      </c>
      <c r="K220" t="s">
        <v>2359</v>
      </c>
      <c r="M220" t="s">
        <v>2454</v>
      </c>
      <c r="N220" t="s">
        <v>2727</v>
      </c>
      <c r="O220" t="s">
        <v>2728</v>
      </c>
      <c r="P220">
        <v>0</v>
      </c>
      <c r="Q220">
        <v>0</v>
      </c>
      <c r="R220" t="s">
        <v>2730</v>
      </c>
      <c r="S220" t="s">
        <v>2732</v>
      </c>
      <c r="T220" t="s">
        <v>2780</v>
      </c>
      <c r="U220" t="s">
        <v>3068</v>
      </c>
      <c r="W220" t="s">
        <v>2454</v>
      </c>
      <c r="X220" t="s">
        <v>3594</v>
      </c>
    </row>
    <row r="221" spans="1:24">
      <c r="A221">
        <f>HYPERLINK("https://www.philgeps.gov.ph/GEPSNONPILOT/Tender/SplashBidNoticeAbstractUI.aspx?menuIndex=3&amp;refID=7062843&amp;Result=3","7062843")</f>
        <v>0</v>
      </c>
      <c r="B221" t="s">
        <v>71</v>
      </c>
      <c r="C221" t="s">
        <v>548</v>
      </c>
      <c r="D221" t="s">
        <v>995</v>
      </c>
      <c r="E221" t="s">
        <v>1276</v>
      </c>
      <c r="F221" t="s">
        <v>1712</v>
      </c>
      <c r="G221" t="s">
        <v>1716</v>
      </c>
      <c r="H221" t="s">
        <v>1723</v>
      </c>
      <c r="I221" t="s">
        <v>1729</v>
      </c>
      <c r="J221" t="s">
        <v>1808</v>
      </c>
      <c r="K221" t="s">
        <v>2388</v>
      </c>
      <c r="M221" t="s">
        <v>2461</v>
      </c>
      <c r="N221" t="s">
        <v>2727</v>
      </c>
      <c r="O221" t="s">
        <v>2728</v>
      </c>
      <c r="P221">
        <v>0</v>
      </c>
      <c r="Q221">
        <v>0</v>
      </c>
      <c r="R221" t="s">
        <v>2730</v>
      </c>
      <c r="S221" t="s">
        <v>2732</v>
      </c>
      <c r="T221" t="s">
        <v>2790</v>
      </c>
      <c r="U221" t="s">
        <v>3069</v>
      </c>
      <c r="W221" t="s">
        <v>2461</v>
      </c>
      <c r="X221" t="s">
        <v>3594</v>
      </c>
    </row>
    <row r="222" spans="1:24">
      <c r="A222">
        <f>HYPERLINK("https://www.philgeps.gov.ph/GEPSNONPILOT/Tender/SplashBidNoticeAbstractUI.aspx?menuIndex=3&amp;refID=7062739&amp;Result=3","7062739")</f>
        <v>0</v>
      </c>
      <c r="B222" t="s">
        <v>64</v>
      </c>
      <c r="C222" t="s">
        <v>549</v>
      </c>
      <c r="D222" t="s">
        <v>1018</v>
      </c>
      <c r="E222" t="s">
        <v>1277</v>
      </c>
      <c r="F222" t="s">
        <v>1712</v>
      </c>
      <c r="G222" t="s">
        <v>1718</v>
      </c>
      <c r="H222" t="s">
        <v>1722</v>
      </c>
      <c r="I222" t="s">
        <v>1775</v>
      </c>
      <c r="J222" t="s">
        <v>2001</v>
      </c>
      <c r="K222" t="s">
        <v>2359</v>
      </c>
      <c r="M222" t="s">
        <v>2454</v>
      </c>
      <c r="N222" t="s">
        <v>2727</v>
      </c>
      <c r="O222" t="s">
        <v>2728</v>
      </c>
      <c r="P222">
        <v>0</v>
      </c>
      <c r="Q222">
        <v>1</v>
      </c>
      <c r="R222" t="s">
        <v>2730</v>
      </c>
      <c r="S222" t="s">
        <v>2732</v>
      </c>
      <c r="T222" t="s">
        <v>2780</v>
      </c>
      <c r="U222" t="s">
        <v>3070</v>
      </c>
      <c r="W222" t="s">
        <v>2454</v>
      </c>
      <c r="X222" t="s">
        <v>3594</v>
      </c>
    </row>
    <row r="223" spans="1:24">
      <c r="A223">
        <f>HYPERLINK("https://www.philgeps.gov.ph/GEPSNONPILOT/Tender/SplashBidNoticeAbstractUI.aspx?menuIndex=3&amp;refID=7063242&amp;Result=3","7063242")</f>
        <v>0</v>
      </c>
      <c r="B223" t="s">
        <v>93</v>
      </c>
      <c r="C223" t="s">
        <v>550</v>
      </c>
      <c r="D223" t="s">
        <v>1005</v>
      </c>
      <c r="E223" t="s">
        <v>1278</v>
      </c>
      <c r="F223" t="s">
        <v>1712</v>
      </c>
      <c r="G223" t="s">
        <v>1716</v>
      </c>
      <c r="H223" t="s">
        <v>1722</v>
      </c>
      <c r="I223" t="s">
        <v>1727</v>
      </c>
      <c r="J223" t="s">
        <v>2002</v>
      </c>
      <c r="K223" t="s">
        <v>2367</v>
      </c>
      <c r="M223" t="s">
        <v>2492</v>
      </c>
      <c r="N223" t="s">
        <v>2727</v>
      </c>
      <c r="O223" t="s">
        <v>2728</v>
      </c>
      <c r="P223">
        <v>0</v>
      </c>
      <c r="Q223">
        <v>0</v>
      </c>
      <c r="R223" t="s">
        <v>2730</v>
      </c>
      <c r="S223" t="s">
        <v>2732</v>
      </c>
      <c r="T223" t="s">
        <v>2793</v>
      </c>
      <c r="U223" t="s">
        <v>3071</v>
      </c>
      <c r="V223" t="s">
        <v>3504</v>
      </c>
      <c r="W223" t="s">
        <v>2492</v>
      </c>
      <c r="X223" t="s">
        <v>3594</v>
      </c>
    </row>
    <row r="224" spans="1:24">
      <c r="A224">
        <f>HYPERLINK("https://www.philgeps.gov.ph/GEPSNONPILOT/Tender/SplashBidNoticeAbstractUI.aspx?menuIndex=3&amp;refID=7062736&amp;Result=3","7062736")</f>
        <v>0</v>
      </c>
      <c r="B224" t="s">
        <v>102</v>
      </c>
      <c r="C224" t="s">
        <v>551</v>
      </c>
      <c r="D224" t="s">
        <v>1014</v>
      </c>
      <c r="E224" t="s">
        <v>1279</v>
      </c>
      <c r="F224" t="s">
        <v>1712</v>
      </c>
      <c r="G224" t="s">
        <v>1716</v>
      </c>
      <c r="H224" t="s">
        <v>1722</v>
      </c>
      <c r="I224" t="s">
        <v>1734</v>
      </c>
      <c r="J224" t="s">
        <v>2003</v>
      </c>
      <c r="K224" t="s">
        <v>2372</v>
      </c>
      <c r="M224" t="s">
        <v>2493</v>
      </c>
      <c r="N224" t="s">
        <v>2727</v>
      </c>
      <c r="O224" t="s">
        <v>2728</v>
      </c>
      <c r="P224">
        <v>0</v>
      </c>
      <c r="Q224">
        <v>0</v>
      </c>
      <c r="R224" t="s">
        <v>2730</v>
      </c>
      <c r="S224" t="s">
        <v>2732</v>
      </c>
      <c r="T224" t="s">
        <v>2768</v>
      </c>
      <c r="U224" t="s">
        <v>3072</v>
      </c>
      <c r="W224" t="s">
        <v>2493</v>
      </c>
      <c r="X224" t="s">
        <v>3594</v>
      </c>
    </row>
    <row r="225" spans="1:24">
      <c r="A225">
        <f>HYPERLINK("https://www.philgeps.gov.ph/GEPSNONPILOT/Tender/SplashBidNoticeAbstractUI.aspx?menuIndex=3&amp;refID=7063235&amp;Result=3","7063235")</f>
        <v>0</v>
      </c>
      <c r="B225" t="s">
        <v>103</v>
      </c>
      <c r="C225" t="s">
        <v>552</v>
      </c>
      <c r="D225" t="s">
        <v>1018</v>
      </c>
      <c r="E225" t="s">
        <v>1280</v>
      </c>
      <c r="F225" t="s">
        <v>1712</v>
      </c>
      <c r="G225" t="s">
        <v>1716</v>
      </c>
      <c r="H225" t="s">
        <v>1722</v>
      </c>
      <c r="I225" t="s">
        <v>1726</v>
      </c>
      <c r="J225" t="s">
        <v>2004</v>
      </c>
      <c r="K225" t="s">
        <v>2358</v>
      </c>
      <c r="M225" t="s">
        <v>2494</v>
      </c>
      <c r="N225" t="s">
        <v>2727</v>
      </c>
      <c r="O225" t="s">
        <v>2728</v>
      </c>
      <c r="P225">
        <v>0</v>
      </c>
      <c r="Q225">
        <v>3</v>
      </c>
      <c r="R225" t="s">
        <v>2730</v>
      </c>
      <c r="S225" t="s">
        <v>2732</v>
      </c>
      <c r="T225" t="s">
        <v>2799</v>
      </c>
      <c r="U225" t="s">
        <v>3073</v>
      </c>
      <c r="W225" t="s">
        <v>2494</v>
      </c>
      <c r="X225" t="s">
        <v>3594</v>
      </c>
    </row>
    <row r="226" spans="1:24">
      <c r="A226">
        <f>HYPERLINK("https://www.philgeps.gov.ph/GEPSNONPILOT/Tender/SplashBidNoticeAbstractUI.aspx?menuIndex=3&amp;refID=7062790&amp;Result=3","7062790")</f>
        <v>0</v>
      </c>
      <c r="B226" t="s">
        <v>71</v>
      </c>
      <c r="C226" t="s">
        <v>553</v>
      </c>
      <c r="D226" t="s">
        <v>995</v>
      </c>
      <c r="E226" t="s">
        <v>1281</v>
      </c>
      <c r="F226" t="s">
        <v>1712</v>
      </c>
      <c r="G226" t="s">
        <v>1716</v>
      </c>
      <c r="H226" t="s">
        <v>1723</v>
      </c>
      <c r="I226" t="s">
        <v>1729</v>
      </c>
      <c r="J226" t="s">
        <v>2005</v>
      </c>
      <c r="K226" t="s">
        <v>2389</v>
      </c>
      <c r="M226" t="s">
        <v>2461</v>
      </c>
      <c r="N226" t="s">
        <v>2727</v>
      </c>
      <c r="O226" t="s">
        <v>2728</v>
      </c>
      <c r="P226">
        <v>0</v>
      </c>
      <c r="Q226">
        <v>0</v>
      </c>
      <c r="R226" t="s">
        <v>2730</v>
      </c>
      <c r="S226" t="s">
        <v>2732</v>
      </c>
      <c r="T226" t="s">
        <v>2790</v>
      </c>
      <c r="U226" t="s">
        <v>3074</v>
      </c>
      <c r="W226" t="s">
        <v>2461</v>
      </c>
      <c r="X226" t="s">
        <v>3594</v>
      </c>
    </row>
    <row r="227" spans="1:24">
      <c r="A227">
        <f>HYPERLINK("https://www.philgeps.gov.ph/GEPSNONPILOT/Tender/SplashBidNoticeAbstractUI.aspx?menuIndex=3&amp;refID=7063247&amp;Result=3","7063247")</f>
        <v>0</v>
      </c>
      <c r="B227" t="s">
        <v>104</v>
      </c>
      <c r="C227" t="s">
        <v>554</v>
      </c>
      <c r="D227" t="s">
        <v>1004</v>
      </c>
      <c r="E227" t="s">
        <v>1282</v>
      </c>
      <c r="F227" t="s">
        <v>1712</v>
      </c>
      <c r="G227" t="s">
        <v>1717</v>
      </c>
      <c r="H227" t="s">
        <v>1722</v>
      </c>
      <c r="I227" t="s">
        <v>1749</v>
      </c>
      <c r="J227" t="s">
        <v>2006</v>
      </c>
      <c r="K227" t="s">
        <v>2359</v>
      </c>
      <c r="M227" t="s">
        <v>2495</v>
      </c>
      <c r="N227" t="s">
        <v>2727</v>
      </c>
      <c r="O227" t="s">
        <v>2728</v>
      </c>
      <c r="P227">
        <v>0</v>
      </c>
      <c r="Q227">
        <v>0</v>
      </c>
      <c r="R227" t="s">
        <v>2730</v>
      </c>
      <c r="S227" t="s">
        <v>2732</v>
      </c>
      <c r="T227" t="s">
        <v>2749</v>
      </c>
      <c r="U227" t="s">
        <v>3075</v>
      </c>
      <c r="W227" t="s">
        <v>2495</v>
      </c>
      <c r="X227" t="s">
        <v>3594</v>
      </c>
    </row>
    <row r="228" spans="1:24">
      <c r="A228">
        <f>HYPERLINK("https://www.philgeps.gov.ph/GEPSNONPILOT/Tender/SplashBidNoticeAbstractUI.aspx?menuIndex=3&amp;refID=7063176&amp;Result=3","7063176")</f>
        <v>0</v>
      </c>
      <c r="B228" t="s">
        <v>105</v>
      </c>
      <c r="C228" t="s">
        <v>555</v>
      </c>
      <c r="D228" t="s">
        <v>1021</v>
      </c>
      <c r="E228" t="s">
        <v>1283</v>
      </c>
      <c r="F228" t="s">
        <v>1712</v>
      </c>
      <c r="G228" t="s">
        <v>1716</v>
      </c>
      <c r="H228" t="s">
        <v>1722</v>
      </c>
      <c r="I228" t="s">
        <v>1750</v>
      </c>
      <c r="J228" t="s">
        <v>2005</v>
      </c>
      <c r="K228" t="s">
        <v>2366</v>
      </c>
      <c r="M228" t="s">
        <v>2496</v>
      </c>
      <c r="N228" t="s">
        <v>2727</v>
      </c>
      <c r="O228" t="s">
        <v>2728</v>
      </c>
      <c r="P228">
        <v>0</v>
      </c>
      <c r="Q228">
        <v>0</v>
      </c>
      <c r="R228" t="s">
        <v>2730</v>
      </c>
      <c r="S228" t="s">
        <v>2732</v>
      </c>
      <c r="T228" t="s">
        <v>2753</v>
      </c>
      <c r="U228" t="s">
        <v>3076</v>
      </c>
      <c r="W228" t="s">
        <v>2496</v>
      </c>
      <c r="X228" t="s">
        <v>3594</v>
      </c>
    </row>
    <row r="229" spans="1:24">
      <c r="A229">
        <f>HYPERLINK("https://www.philgeps.gov.ph/GEPSNONPILOT/Tender/SplashBidNoticeAbstractUI.aspx?menuIndex=3&amp;refID=7063290&amp;Result=3","7063290")</f>
        <v>0</v>
      </c>
      <c r="B229" t="s">
        <v>103</v>
      </c>
      <c r="C229" t="s">
        <v>556</v>
      </c>
      <c r="D229" t="s">
        <v>1018</v>
      </c>
      <c r="E229" t="s">
        <v>1284</v>
      </c>
      <c r="F229" t="s">
        <v>1712</v>
      </c>
      <c r="G229" t="s">
        <v>1716</v>
      </c>
      <c r="H229" t="s">
        <v>1723</v>
      </c>
      <c r="I229" t="s">
        <v>1729</v>
      </c>
      <c r="J229" t="s">
        <v>1808</v>
      </c>
      <c r="K229" t="s">
        <v>2390</v>
      </c>
      <c r="M229" t="s">
        <v>2494</v>
      </c>
      <c r="N229" t="s">
        <v>2727</v>
      </c>
      <c r="O229" t="s">
        <v>2728</v>
      </c>
      <c r="P229">
        <v>0</v>
      </c>
      <c r="Q229">
        <v>0</v>
      </c>
      <c r="R229" t="s">
        <v>2730</v>
      </c>
      <c r="S229" t="s">
        <v>2732</v>
      </c>
      <c r="T229" t="s">
        <v>2799</v>
      </c>
      <c r="U229" t="s">
        <v>3077</v>
      </c>
      <c r="W229" t="s">
        <v>2494</v>
      </c>
      <c r="X229" t="s">
        <v>3594</v>
      </c>
    </row>
    <row r="230" spans="1:24">
      <c r="A230">
        <f>HYPERLINK("https://www.philgeps.gov.ph/GEPSNONPILOT/Tender/SplashBidNoticeAbstractUI.aspx?menuIndex=3&amp;refID=7062909&amp;Result=3","7062909")</f>
        <v>0</v>
      </c>
      <c r="B230" t="s">
        <v>71</v>
      </c>
      <c r="C230" t="s">
        <v>557</v>
      </c>
      <c r="D230" t="s">
        <v>995</v>
      </c>
      <c r="E230" t="s">
        <v>1285</v>
      </c>
      <c r="F230" t="s">
        <v>1712</v>
      </c>
      <c r="G230" t="s">
        <v>1716</v>
      </c>
      <c r="H230" t="s">
        <v>1723</v>
      </c>
      <c r="I230" t="s">
        <v>1729</v>
      </c>
      <c r="J230" t="s">
        <v>1955</v>
      </c>
      <c r="K230" t="s">
        <v>2383</v>
      </c>
      <c r="M230" t="s">
        <v>2461</v>
      </c>
      <c r="N230" t="s">
        <v>2727</v>
      </c>
      <c r="O230" t="s">
        <v>2728</v>
      </c>
      <c r="P230">
        <v>0</v>
      </c>
      <c r="Q230">
        <v>0</v>
      </c>
      <c r="R230" t="s">
        <v>2730</v>
      </c>
      <c r="S230" t="s">
        <v>2732</v>
      </c>
      <c r="T230" t="s">
        <v>2790</v>
      </c>
      <c r="U230" t="s">
        <v>3078</v>
      </c>
      <c r="W230" t="s">
        <v>2461</v>
      </c>
      <c r="X230" t="s">
        <v>3594</v>
      </c>
    </row>
    <row r="231" spans="1:24">
      <c r="A231">
        <f>HYPERLINK("https://www.philgeps.gov.ph/GEPSNONPILOT/Tender/SplashBidNoticeAbstractUI.aspx?menuIndex=3&amp;refID=7063361&amp;Result=3","7063361")</f>
        <v>0</v>
      </c>
      <c r="B231" t="s">
        <v>47</v>
      </c>
      <c r="C231" t="s">
        <v>558</v>
      </c>
      <c r="E231" t="s">
        <v>1286</v>
      </c>
      <c r="F231" t="s">
        <v>1712</v>
      </c>
      <c r="G231" t="s">
        <v>1716</v>
      </c>
      <c r="H231" t="s">
        <v>1722</v>
      </c>
      <c r="I231" t="s">
        <v>1771</v>
      </c>
      <c r="J231" t="s">
        <v>1820</v>
      </c>
      <c r="K231" t="s">
        <v>2367</v>
      </c>
      <c r="M231" t="s">
        <v>2436</v>
      </c>
      <c r="N231" t="s">
        <v>2727</v>
      </c>
      <c r="O231" t="s">
        <v>2728</v>
      </c>
      <c r="P231">
        <v>0</v>
      </c>
      <c r="Q231">
        <v>0</v>
      </c>
      <c r="R231" t="s">
        <v>2730</v>
      </c>
      <c r="S231" t="s">
        <v>2732</v>
      </c>
      <c r="T231" t="s">
        <v>2754</v>
      </c>
      <c r="U231" t="s">
        <v>2910</v>
      </c>
      <c r="W231" t="s">
        <v>2436</v>
      </c>
      <c r="X231" t="s">
        <v>3594</v>
      </c>
    </row>
    <row r="232" spans="1:24">
      <c r="A232">
        <f>HYPERLINK("https://www.philgeps.gov.ph/GEPSNONPILOT/Tender/SplashBidNoticeAbstractUI.aspx?menuIndex=3&amp;refID=7063201&amp;Result=3","7063201")</f>
        <v>0</v>
      </c>
      <c r="B232" t="s">
        <v>106</v>
      </c>
      <c r="C232" t="s">
        <v>559</v>
      </c>
      <c r="D232" t="s">
        <v>1034</v>
      </c>
      <c r="E232" t="s">
        <v>1287</v>
      </c>
      <c r="F232" t="s">
        <v>1712</v>
      </c>
      <c r="G232" t="s">
        <v>1716</v>
      </c>
      <c r="H232" t="s">
        <v>1723</v>
      </c>
      <c r="I232" t="s">
        <v>1729</v>
      </c>
      <c r="J232" t="s">
        <v>1812</v>
      </c>
      <c r="K232" t="s">
        <v>2369</v>
      </c>
      <c r="M232" t="s">
        <v>2497</v>
      </c>
      <c r="N232" t="s">
        <v>2727</v>
      </c>
      <c r="O232" t="s">
        <v>2728</v>
      </c>
      <c r="P232">
        <v>0</v>
      </c>
      <c r="Q232">
        <v>0</v>
      </c>
      <c r="R232" t="s">
        <v>2730</v>
      </c>
      <c r="S232" t="s">
        <v>2732</v>
      </c>
      <c r="T232" t="s">
        <v>2752</v>
      </c>
      <c r="U232" t="s">
        <v>3079</v>
      </c>
      <c r="W232" t="s">
        <v>2497</v>
      </c>
      <c r="X232" t="s">
        <v>3594</v>
      </c>
    </row>
    <row r="233" spans="1:24">
      <c r="A233">
        <f>HYPERLINK("https://www.philgeps.gov.ph/GEPSNONPILOT/Tender/SplashBidNoticeAbstractUI.aspx?menuIndex=3&amp;refID=7063311&amp;Result=3","7063311")</f>
        <v>0</v>
      </c>
      <c r="B233" t="s">
        <v>103</v>
      </c>
      <c r="C233" t="s">
        <v>560</v>
      </c>
      <c r="D233" t="s">
        <v>1018</v>
      </c>
      <c r="E233" t="s">
        <v>1288</v>
      </c>
      <c r="F233" t="s">
        <v>1712</v>
      </c>
      <c r="G233" t="s">
        <v>1716</v>
      </c>
      <c r="H233" t="s">
        <v>1723</v>
      </c>
      <c r="I233" t="s">
        <v>1729</v>
      </c>
      <c r="J233" t="s">
        <v>1808</v>
      </c>
      <c r="K233" t="s">
        <v>2391</v>
      </c>
      <c r="M233" t="s">
        <v>2494</v>
      </c>
      <c r="N233" t="s">
        <v>2727</v>
      </c>
      <c r="O233" t="s">
        <v>2728</v>
      </c>
      <c r="P233">
        <v>0</v>
      </c>
      <c r="Q233">
        <v>0</v>
      </c>
      <c r="R233" t="s">
        <v>2730</v>
      </c>
      <c r="S233" t="s">
        <v>2732</v>
      </c>
      <c r="T233" t="s">
        <v>2799</v>
      </c>
      <c r="U233" t="s">
        <v>3080</v>
      </c>
      <c r="W233" t="s">
        <v>2494</v>
      </c>
      <c r="X233" t="s">
        <v>3594</v>
      </c>
    </row>
    <row r="234" spans="1:24">
      <c r="A234">
        <f>HYPERLINK("https://www.philgeps.gov.ph/GEPSNONPILOT/Tender/SplashBidNoticeAbstractUI.aspx?menuIndex=3&amp;refID=7063330&amp;Result=3","7063330")</f>
        <v>0</v>
      </c>
      <c r="B234" t="s">
        <v>107</v>
      </c>
      <c r="C234" t="s">
        <v>561</v>
      </c>
      <c r="D234" t="s">
        <v>998</v>
      </c>
      <c r="E234" t="s">
        <v>1289</v>
      </c>
      <c r="F234" t="s">
        <v>1712</v>
      </c>
      <c r="G234" t="s">
        <v>1718</v>
      </c>
      <c r="H234" t="s">
        <v>1722</v>
      </c>
      <c r="I234" t="s">
        <v>1728</v>
      </c>
      <c r="J234" t="s">
        <v>2007</v>
      </c>
      <c r="K234" t="s">
        <v>2366</v>
      </c>
      <c r="M234" t="s">
        <v>2498</v>
      </c>
      <c r="N234" t="s">
        <v>2727</v>
      </c>
      <c r="O234" t="s">
        <v>2728</v>
      </c>
      <c r="P234">
        <v>0</v>
      </c>
      <c r="Q234">
        <v>0</v>
      </c>
      <c r="R234" t="s">
        <v>2730</v>
      </c>
      <c r="S234" t="s">
        <v>2732</v>
      </c>
      <c r="T234" t="s">
        <v>2745</v>
      </c>
      <c r="U234" t="s">
        <v>3081</v>
      </c>
      <c r="W234" t="s">
        <v>2498</v>
      </c>
      <c r="X234" t="s">
        <v>3594</v>
      </c>
    </row>
    <row r="235" spans="1:24">
      <c r="A235">
        <f>HYPERLINK("https://www.philgeps.gov.ph/GEPSNONPILOT/Tender/SplashBidNoticeAbstractUI.aspx?menuIndex=3&amp;refID=7063082&amp;Result=3","7063082")</f>
        <v>0</v>
      </c>
      <c r="B235" t="s">
        <v>93</v>
      </c>
      <c r="C235" t="s">
        <v>562</v>
      </c>
      <c r="D235" t="s">
        <v>1005</v>
      </c>
      <c r="E235" t="s">
        <v>1290</v>
      </c>
      <c r="F235" t="s">
        <v>1712</v>
      </c>
      <c r="G235" t="s">
        <v>1716</v>
      </c>
      <c r="H235" t="s">
        <v>1722</v>
      </c>
      <c r="I235" t="s">
        <v>1727</v>
      </c>
      <c r="J235" t="s">
        <v>2008</v>
      </c>
      <c r="K235" t="s">
        <v>2367</v>
      </c>
      <c r="M235" t="s">
        <v>2483</v>
      </c>
      <c r="N235" t="s">
        <v>2727</v>
      </c>
      <c r="O235" t="s">
        <v>2728</v>
      </c>
      <c r="P235">
        <v>0</v>
      </c>
      <c r="Q235">
        <v>0</v>
      </c>
      <c r="R235" t="s">
        <v>2730</v>
      </c>
      <c r="S235" t="s">
        <v>2732</v>
      </c>
      <c r="T235" t="s">
        <v>2793</v>
      </c>
      <c r="U235" t="s">
        <v>3082</v>
      </c>
      <c r="V235" t="s">
        <v>3505</v>
      </c>
      <c r="W235" t="s">
        <v>2483</v>
      </c>
      <c r="X235" t="s">
        <v>3594</v>
      </c>
    </row>
    <row r="236" spans="1:24">
      <c r="A236">
        <f>HYPERLINK("https://www.philgeps.gov.ph/GEPSNONPILOT/Tender/SplashBidNoticeAbstractUI.aspx?menuIndex=3&amp;refID=7063380&amp;Result=3","7063380")</f>
        <v>0</v>
      </c>
      <c r="B236" t="s">
        <v>108</v>
      </c>
      <c r="C236" t="s">
        <v>563</v>
      </c>
      <c r="D236" t="s">
        <v>1020</v>
      </c>
      <c r="E236" t="s">
        <v>1291</v>
      </c>
      <c r="F236" t="s">
        <v>1712</v>
      </c>
      <c r="G236" t="s">
        <v>1717</v>
      </c>
      <c r="H236" t="s">
        <v>1722</v>
      </c>
      <c r="I236" t="s">
        <v>1773</v>
      </c>
      <c r="J236" t="s">
        <v>2009</v>
      </c>
      <c r="K236" t="s">
        <v>2366</v>
      </c>
      <c r="M236" t="s">
        <v>2499</v>
      </c>
      <c r="N236" t="s">
        <v>2727</v>
      </c>
      <c r="O236" t="s">
        <v>2728</v>
      </c>
      <c r="P236">
        <v>0</v>
      </c>
      <c r="Q236">
        <v>0</v>
      </c>
      <c r="R236" t="s">
        <v>2730</v>
      </c>
      <c r="S236" t="s">
        <v>2732</v>
      </c>
      <c r="T236" t="s">
        <v>2745</v>
      </c>
      <c r="U236" t="s">
        <v>3083</v>
      </c>
      <c r="W236" t="s">
        <v>2499</v>
      </c>
      <c r="X236" t="s">
        <v>3594</v>
      </c>
    </row>
    <row r="237" spans="1:24">
      <c r="A237">
        <f>HYPERLINK("https://www.philgeps.gov.ph/GEPSNONPILOT/Tender/SplashBidNoticeAbstractUI.aspx?menuIndex=3&amp;refID=7063304&amp;Result=3","7063304")</f>
        <v>0</v>
      </c>
      <c r="B237" t="s">
        <v>109</v>
      </c>
      <c r="C237" t="s">
        <v>564</v>
      </c>
      <c r="E237" t="s">
        <v>1292</v>
      </c>
      <c r="F237" t="s">
        <v>1712</v>
      </c>
      <c r="G237" t="s">
        <v>1716</v>
      </c>
      <c r="H237" t="s">
        <v>1722</v>
      </c>
      <c r="I237" t="s">
        <v>1765</v>
      </c>
      <c r="J237" t="s">
        <v>2010</v>
      </c>
      <c r="K237" t="s">
        <v>2367</v>
      </c>
      <c r="M237" t="s">
        <v>2500</v>
      </c>
      <c r="N237" t="s">
        <v>2727</v>
      </c>
      <c r="O237" t="s">
        <v>2728</v>
      </c>
      <c r="P237">
        <v>0</v>
      </c>
      <c r="Q237">
        <v>0</v>
      </c>
      <c r="R237" t="s">
        <v>2730</v>
      </c>
      <c r="S237" t="s">
        <v>2732</v>
      </c>
      <c r="T237" t="s">
        <v>2790</v>
      </c>
      <c r="U237" t="s">
        <v>3084</v>
      </c>
      <c r="W237" t="s">
        <v>2500</v>
      </c>
      <c r="X237" t="s">
        <v>3594</v>
      </c>
    </row>
    <row r="238" spans="1:24">
      <c r="A238">
        <f>HYPERLINK("https://www.philgeps.gov.ph/GEPSNONPILOT/Tender/SplashBidNoticeAbstractUI.aspx?menuIndex=3&amp;refID=7063013&amp;Result=3","7063013")</f>
        <v>0</v>
      </c>
      <c r="B238" t="s">
        <v>50</v>
      </c>
      <c r="C238" t="s">
        <v>565</v>
      </c>
      <c r="D238" t="s">
        <v>1010</v>
      </c>
      <c r="E238" t="s">
        <v>1293</v>
      </c>
      <c r="F238" t="s">
        <v>1712</v>
      </c>
      <c r="G238" t="s">
        <v>1716</v>
      </c>
      <c r="H238" t="s">
        <v>1722</v>
      </c>
      <c r="I238" t="s">
        <v>1776</v>
      </c>
      <c r="J238" t="s">
        <v>2011</v>
      </c>
      <c r="K238" t="s">
        <v>2371</v>
      </c>
      <c r="M238" t="s">
        <v>2439</v>
      </c>
      <c r="N238" t="s">
        <v>2727</v>
      </c>
      <c r="O238" t="s">
        <v>2728</v>
      </c>
      <c r="P238">
        <v>0</v>
      </c>
      <c r="Q238">
        <v>0</v>
      </c>
      <c r="R238" t="s">
        <v>2730</v>
      </c>
      <c r="S238" t="s">
        <v>2732</v>
      </c>
      <c r="T238" t="s">
        <v>2757</v>
      </c>
      <c r="U238" t="s">
        <v>3085</v>
      </c>
      <c r="W238" t="s">
        <v>2439</v>
      </c>
      <c r="X238" t="s">
        <v>3594</v>
      </c>
    </row>
    <row r="239" spans="1:24">
      <c r="A239">
        <f>HYPERLINK("https://www.philgeps.gov.ph/GEPSNONPILOT/Tender/SplashBidNoticeAbstractUI.aspx?menuIndex=3&amp;refID=7063076&amp;Result=3","7063076")</f>
        <v>0</v>
      </c>
      <c r="B239" t="s">
        <v>110</v>
      </c>
      <c r="C239" t="s">
        <v>566</v>
      </c>
      <c r="D239" t="s">
        <v>1035</v>
      </c>
      <c r="E239" t="s">
        <v>1294</v>
      </c>
      <c r="F239" t="s">
        <v>1712</v>
      </c>
      <c r="G239" t="s">
        <v>1717</v>
      </c>
      <c r="H239" t="s">
        <v>1722</v>
      </c>
      <c r="I239" t="s">
        <v>1749</v>
      </c>
      <c r="J239" t="s">
        <v>2012</v>
      </c>
      <c r="K239" t="s">
        <v>2366</v>
      </c>
      <c r="M239" t="s">
        <v>2501</v>
      </c>
      <c r="N239" t="s">
        <v>2727</v>
      </c>
      <c r="O239" t="s">
        <v>2728</v>
      </c>
      <c r="P239">
        <v>0</v>
      </c>
      <c r="Q239">
        <v>0</v>
      </c>
      <c r="R239" t="s">
        <v>2730</v>
      </c>
      <c r="S239" t="s">
        <v>2732</v>
      </c>
      <c r="T239" t="s">
        <v>2795</v>
      </c>
      <c r="U239" t="s">
        <v>3086</v>
      </c>
      <c r="W239" t="s">
        <v>2501</v>
      </c>
      <c r="X239" t="s">
        <v>3594</v>
      </c>
    </row>
    <row r="240" spans="1:24">
      <c r="A240">
        <f>HYPERLINK("https://www.philgeps.gov.ph/GEPSNONPILOT/Tender/SplashBidNoticeAbstractUI.aspx?menuIndex=3&amp;refID=7063297&amp;Result=3","7063297")</f>
        <v>0</v>
      </c>
      <c r="B240" t="s">
        <v>111</v>
      </c>
      <c r="C240" t="s">
        <v>567</v>
      </c>
      <c r="D240" t="s">
        <v>1015</v>
      </c>
      <c r="E240" t="s">
        <v>1295</v>
      </c>
      <c r="F240" t="s">
        <v>1712</v>
      </c>
      <c r="G240" t="s">
        <v>1717</v>
      </c>
      <c r="H240" t="s">
        <v>1722</v>
      </c>
      <c r="I240" t="s">
        <v>1740</v>
      </c>
      <c r="J240" t="s">
        <v>2013</v>
      </c>
      <c r="K240" t="s">
        <v>2359</v>
      </c>
      <c r="M240" t="s">
        <v>2502</v>
      </c>
      <c r="N240" t="s">
        <v>2727</v>
      </c>
      <c r="O240" t="s">
        <v>2728</v>
      </c>
      <c r="P240">
        <v>0</v>
      </c>
      <c r="Q240">
        <v>0</v>
      </c>
      <c r="R240" t="s">
        <v>2730</v>
      </c>
      <c r="S240" t="s">
        <v>2732</v>
      </c>
      <c r="T240" t="s">
        <v>2800</v>
      </c>
      <c r="U240" t="s">
        <v>3087</v>
      </c>
      <c r="W240" t="s">
        <v>2502</v>
      </c>
      <c r="X240" t="s">
        <v>3594</v>
      </c>
    </row>
    <row r="241" spans="1:24">
      <c r="A241">
        <f>HYPERLINK("https://www.philgeps.gov.ph/GEPSNONPILOT/Tender/SplashBidNoticeAbstractUI.aspx?menuIndex=3&amp;refID=7062940&amp;Result=3","7062940")</f>
        <v>0</v>
      </c>
      <c r="B241" t="s">
        <v>71</v>
      </c>
      <c r="C241" t="s">
        <v>568</v>
      </c>
      <c r="D241" t="s">
        <v>995</v>
      </c>
      <c r="E241" t="s">
        <v>1296</v>
      </c>
      <c r="F241" t="s">
        <v>1712</v>
      </c>
      <c r="G241" t="s">
        <v>1716</v>
      </c>
      <c r="H241" t="s">
        <v>1723</v>
      </c>
      <c r="I241" t="s">
        <v>1729</v>
      </c>
      <c r="J241" t="s">
        <v>2014</v>
      </c>
      <c r="K241" t="s">
        <v>2369</v>
      </c>
      <c r="M241" t="s">
        <v>2461</v>
      </c>
      <c r="N241" t="s">
        <v>2727</v>
      </c>
      <c r="O241" t="s">
        <v>2728</v>
      </c>
      <c r="P241">
        <v>0</v>
      </c>
      <c r="Q241">
        <v>0</v>
      </c>
      <c r="R241" t="s">
        <v>2730</v>
      </c>
      <c r="S241" t="s">
        <v>2732</v>
      </c>
      <c r="T241" t="s">
        <v>2790</v>
      </c>
      <c r="U241" t="s">
        <v>3088</v>
      </c>
      <c r="W241" t="s">
        <v>2461</v>
      </c>
      <c r="X241" t="s">
        <v>3594</v>
      </c>
    </row>
    <row r="242" spans="1:24">
      <c r="A242">
        <f>HYPERLINK("https://www.philgeps.gov.ph/GEPSNONPILOT/Tender/SplashBidNoticeAbstractUI.aspx?menuIndex=3&amp;refID=7063383&amp;Result=3","7063383")</f>
        <v>0</v>
      </c>
      <c r="B242" t="s">
        <v>103</v>
      </c>
      <c r="C242" t="s">
        <v>569</v>
      </c>
      <c r="D242" t="s">
        <v>1018</v>
      </c>
      <c r="E242" t="s">
        <v>1297</v>
      </c>
      <c r="F242" t="s">
        <v>1712</v>
      </c>
      <c r="G242" t="s">
        <v>1716</v>
      </c>
      <c r="H242" t="s">
        <v>1723</v>
      </c>
      <c r="I242" t="s">
        <v>1729</v>
      </c>
      <c r="J242" t="s">
        <v>2015</v>
      </c>
      <c r="K242" t="s">
        <v>2392</v>
      </c>
      <c r="M242" t="s">
        <v>2494</v>
      </c>
      <c r="N242" t="s">
        <v>2727</v>
      </c>
      <c r="O242" t="s">
        <v>2728</v>
      </c>
      <c r="P242">
        <v>0</v>
      </c>
      <c r="Q242">
        <v>0</v>
      </c>
      <c r="R242" t="s">
        <v>2730</v>
      </c>
      <c r="S242" t="s">
        <v>2732</v>
      </c>
      <c r="T242" t="s">
        <v>2799</v>
      </c>
      <c r="U242" t="s">
        <v>3089</v>
      </c>
      <c r="W242" t="s">
        <v>2494</v>
      </c>
      <c r="X242" t="s">
        <v>3594</v>
      </c>
    </row>
    <row r="243" spans="1:24">
      <c r="A243">
        <f>HYPERLINK("https://www.philgeps.gov.ph/GEPSNONPILOT/Tender/SplashBidNoticeAbstractUI.aspx?menuIndex=3&amp;refID=7063424&amp;Result=3","7063424")</f>
        <v>0</v>
      </c>
      <c r="B243" t="s">
        <v>112</v>
      </c>
      <c r="C243" t="s">
        <v>570</v>
      </c>
      <c r="D243" t="s">
        <v>1025</v>
      </c>
      <c r="E243" t="s">
        <v>1298</v>
      </c>
      <c r="F243" t="s">
        <v>1712</v>
      </c>
      <c r="G243" t="s">
        <v>1716</v>
      </c>
      <c r="H243" t="s">
        <v>1722</v>
      </c>
      <c r="I243" t="s">
        <v>1773</v>
      </c>
      <c r="J243" t="s">
        <v>2016</v>
      </c>
      <c r="K243" t="s">
        <v>2366</v>
      </c>
      <c r="M243" t="s">
        <v>2503</v>
      </c>
      <c r="N243" t="s">
        <v>2727</v>
      </c>
      <c r="O243" t="s">
        <v>2728</v>
      </c>
      <c r="P243">
        <v>0</v>
      </c>
      <c r="Q243">
        <v>0</v>
      </c>
      <c r="R243" t="s">
        <v>2730</v>
      </c>
      <c r="S243" t="s">
        <v>2732</v>
      </c>
      <c r="T243" t="s">
        <v>2801</v>
      </c>
      <c r="U243" t="s">
        <v>3090</v>
      </c>
      <c r="V243" t="s">
        <v>3506</v>
      </c>
      <c r="W243" t="s">
        <v>2503</v>
      </c>
      <c r="X243" t="s">
        <v>3594</v>
      </c>
    </row>
    <row r="244" spans="1:24">
      <c r="A244">
        <f>HYPERLINK("https://www.philgeps.gov.ph/GEPSNONPILOT/Tender/SplashBidNoticeAbstractUI.aspx?menuIndex=3&amp;refID=7063852&amp;Result=3","7063852")</f>
        <v>0</v>
      </c>
      <c r="B244" t="s">
        <v>113</v>
      </c>
      <c r="C244" t="s">
        <v>571</v>
      </c>
      <c r="D244" t="s">
        <v>1020</v>
      </c>
      <c r="E244" t="s">
        <v>1299</v>
      </c>
      <c r="F244" t="s">
        <v>1712</v>
      </c>
      <c r="G244" t="s">
        <v>1716</v>
      </c>
      <c r="H244" t="s">
        <v>1723</v>
      </c>
      <c r="I244" t="s">
        <v>1729</v>
      </c>
      <c r="J244" t="s">
        <v>2017</v>
      </c>
      <c r="K244" t="s">
        <v>2393</v>
      </c>
      <c r="M244" t="s">
        <v>2504</v>
      </c>
      <c r="N244" t="s">
        <v>2727</v>
      </c>
      <c r="O244" t="s">
        <v>2728</v>
      </c>
      <c r="P244">
        <v>0</v>
      </c>
      <c r="Q244">
        <v>0</v>
      </c>
      <c r="R244" t="s">
        <v>2730</v>
      </c>
      <c r="S244" t="s">
        <v>2732</v>
      </c>
      <c r="T244" t="s">
        <v>2802</v>
      </c>
      <c r="U244" t="s">
        <v>3091</v>
      </c>
      <c r="W244" t="s">
        <v>2504</v>
      </c>
      <c r="X244" t="s">
        <v>3594</v>
      </c>
    </row>
    <row r="245" spans="1:24">
      <c r="A245">
        <f>HYPERLINK("https://www.philgeps.gov.ph/GEPSNONPILOT/Tender/SplashBidNoticeAbstractUI.aspx?menuIndex=3&amp;refID=7063784&amp;Result=3","7063784")</f>
        <v>0</v>
      </c>
      <c r="B245" t="s">
        <v>93</v>
      </c>
      <c r="C245" t="s">
        <v>572</v>
      </c>
      <c r="D245" t="s">
        <v>1005</v>
      </c>
      <c r="E245" t="s">
        <v>1300</v>
      </c>
      <c r="F245" t="s">
        <v>1712</v>
      </c>
      <c r="G245" t="s">
        <v>1716</v>
      </c>
      <c r="H245" t="s">
        <v>1722</v>
      </c>
      <c r="I245" t="s">
        <v>1751</v>
      </c>
      <c r="J245" t="s">
        <v>2018</v>
      </c>
      <c r="K245" t="s">
        <v>2367</v>
      </c>
      <c r="M245" t="s">
        <v>2492</v>
      </c>
      <c r="N245" t="s">
        <v>2727</v>
      </c>
      <c r="O245" t="s">
        <v>2728</v>
      </c>
      <c r="P245">
        <v>0</v>
      </c>
      <c r="Q245">
        <v>0</v>
      </c>
      <c r="R245" t="s">
        <v>2730</v>
      </c>
      <c r="S245" t="s">
        <v>2732</v>
      </c>
      <c r="T245" t="s">
        <v>2793</v>
      </c>
      <c r="U245" t="s">
        <v>3092</v>
      </c>
      <c r="V245" t="s">
        <v>3507</v>
      </c>
      <c r="W245" t="s">
        <v>2492</v>
      </c>
      <c r="X245" t="s">
        <v>3594</v>
      </c>
    </row>
    <row r="246" spans="1:24">
      <c r="A246">
        <f>HYPERLINK("https://www.philgeps.gov.ph/GEPSNONPILOT/Tender/SplashBidNoticeAbstractUI.aspx?menuIndex=3&amp;refID=7063484&amp;Result=3","7063484")</f>
        <v>0</v>
      </c>
      <c r="B246" t="s">
        <v>47</v>
      </c>
      <c r="C246" t="s">
        <v>573</v>
      </c>
      <c r="E246" t="s">
        <v>1301</v>
      </c>
      <c r="F246" t="s">
        <v>1712</v>
      </c>
      <c r="G246" t="s">
        <v>1716</v>
      </c>
      <c r="H246" t="s">
        <v>1722</v>
      </c>
      <c r="I246" t="s">
        <v>1771</v>
      </c>
      <c r="J246" t="s">
        <v>2019</v>
      </c>
      <c r="K246" t="s">
        <v>2367</v>
      </c>
      <c r="M246" t="s">
        <v>2436</v>
      </c>
      <c r="N246" t="s">
        <v>2727</v>
      </c>
      <c r="O246" t="s">
        <v>2728</v>
      </c>
      <c r="P246">
        <v>0</v>
      </c>
      <c r="Q246">
        <v>0</v>
      </c>
      <c r="R246" t="s">
        <v>2730</v>
      </c>
      <c r="S246" t="s">
        <v>2732</v>
      </c>
      <c r="T246" t="s">
        <v>2754</v>
      </c>
      <c r="U246" t="s">
        <v>2910</v>
      </c>
      <c r="W246" t="s">
        <v>2436</v>
      </c>
      <c r="X246" t="s">
        <v>3594</v>
      </c>
    </row>
    <row r="247" spans="1:24">
      <c r="A247">
        <f>HYPERLINK("https://www.philgeps.gov.ph/GEPSNONPILOT/Tender/SplashBidNoticeAbstractUI.aspx?menuIndex=3&amp;refID=7063728&amp;Result=3","7063728")</f>
        <v>0</v>
      </c>
      <c r="B247" t="s">
        <v>93</v>
      </c>
      <c r="C247" t="s">
        <v>574</v>
      </c>
      <c r="D247" t="s">
        <v>1005</v>
      </c>
      <c r="E247" t="s">
        <v>1302</v>
      </c>
      <c r="F247" t="s">
        <v>1712</v>
      </c>
      <c r="G247" t="s">
        <v>1716</v>
      </c>
      <c r="H247" t="s">
        <v>1722</v>
      </c>
      <c r="I247" t="s">
        <v>1727</v>
      </c>
      <c r="J247" t="s">
        <v>2002</v>
      </c>
      <c r="K247" t="s">
        <v>2367</v>
      </c>
      <c r="M247" t="s">
        <v>2492</v>
      </c>
      <c r="N247" t="s">
        <v>2727</v>
      </c>
      <c r="O247" t="s">
        <v>2728</v>
      </c>
      <c r="P247">
        <v>0</v>
      </c>
      <c r="Q247">
        <v>0</v>
      </c>
      <c r="R247" t="s">
        <v>2730</v>
      </c>
      <c r="S247" t="s">
        <v>2732</v>
      </c>
      <c r="T247" t="s">
        <v>2793</v>
      </c>
      <c r="U247" t="s">
        <v>3093</v>
      </c>
      <c r="V247" t="s">
        <v>3508</v>
      </c>
      <c r="W247" t="s">
        <v>2492</v>
      </c>
      <c r="X247" t="s">
        <v>3594</v>
      </c>
    </row>
    <row r="248" spans="1:24">
      <c r="A248">
        <f>HYPERLINK("https://www.philgeps.gov.ph/GEPSNONPILOT/Tender/SplashBidNoticeAbstractUI.aspx?menuIndex=3&amp;refID=7063835&amp;Result=3","7063835")</f>
        <v>0</v>
      </c>
      <c r="B248" t="s">
        <v>114</v>
      </c>
      <c r="C248" t="s">
        <v>575</v>
      </c>
      <c r="D248" t="s">
        <v>1036</v>
      </c>
      <c r="E248" t="s">
        <v>1303</v>
      </c>
      <c r="F248" t="s">
        <v>1712</v>
      </c>
      <c r="G248" t="s">
        <v>1717</v>
      </c>
      <c r="H248" t="s">
        <v>1722</v>
      </c>
      <c r="I248" t="s">
        <v>1727</v>
      </c>
      <c r="J248" t="s">
        <v>2020</v>
      </c>
      <c r="K248" t="s">
        <v>2358</v>
      </c>
      <c r="M248" t="s">
        <v>2505</v>
      </c>
      <c r="N248" t="s">
        <v>2727</v>
      </c>
      <c r="O248" t="s">
        <v>2728</v>
      </c>
      <c r="P248">
        <v>0</v>
      </c>
      <c r="Q248">
        <v>0</v>
      </c>
      <c r="R248" t="s">
        <v>2730</v>
      </c>
      <c r="S248" t="s">
        <v>2732</v>
      </c>
      <c r="T248" t="s">
        <v>2746</v>
      </c>
      <c r="U248" t="s">
        <v>3094</v>
      </c>
      <c r="V248" t="s">
        <v>3509</v>
      </c>
      <c r="W248" t="s">
        <v>2505</v>
      </c>
      <c r="X248" t="s">
        <v>3594</v>
      </c>
    </row>
    <row r="249" spans="1:24">
      <c r="A249">
        <f>HYPERLINK("https://www.philgeps.gov.ph/GEPSNONPILOT/Tender/SplashBidNoticeAbstractUI.aspx?menuIndex=3&amp;refID=7063700&amp;Result=3","7063700")</f>
        <v>0</v>
      </c>
      <c r="B249" t="s">
        <v>115</v>
      </c>
      <c r="C249" t="s">
        <v>576</v>
      </c>
      <c r="D249" t="s">
        <v>1037</v>
      </c>
      <c r="E249" t="s">
        <v>1304</v>
      </c>
      <c r="F249" t="s">
        <v>1712</v>
      </c>
      <c r="G249" t="s">
        <v>1717</v>
      </c>
      <c r="H249" t="s">
        <v>1722</v>
      </c>
      <c r="I249" t="s">
        <v>1727</v>
      </c>
      <c r="J249" t="s">
        <v>2021</v>
      </c>
      <c r="K249" t="s">
        <v>2370</v>
      </c>
      <c r="M249" t="s">
        <v>2506</v>
      </c>
      <c r="N249" t="s">
        <v>2727</v>
      </c>
      <c r="O249" t="s">
        <v>2728</v>
      </c>
      <c r="P249">
        <v>0</v>
      </c>
      <c r="Q249">
        <v>0</v>
      </c>
      <c r="R249" t="s">
        <v>2730</v>
      </c>
      <c r="S249" t="s">
        <v>2732</v>
      </c>
      <c r="T249" t="s">
        <v>2803</v>
      </c>
      <c r="U249" t="s">
        <v>3095</v>
      </c>
      <c r="W249" t="s">
        <v>2506</v>
      </c>
      <c r="X249" t="s">
        <v>3594</v>
      </c>
    </row>
    <row r="250" spans="1:24">
      <c r="A250">
        <f>HYPERLINK("https://www.philgeps.gov.ph/GEPSNONPILOT/Tender/SplashBidNoticeAbstractUI.aspx?menuIndex=3&amp;refID=7063417&amp;Result=3","7063417")</f>
        <v>0</v>
      </c>
      <c r="B250" t="s">
        <v>108</v>
      </c>
      <c r="C250" t="s">
        <v>563</v>
      </c>
      <c r="D250" t="s">
        <v>1020</v>
      </c>
      <c r="E250" t="s">
        <v>1305</v>
      </c>
      <c r="F250" t="s">
        <v>1712</v>
      </c>
      <c r="G250" t="s">
        <v>1717</v>
      </c>
      <c r="H250" t="s">
        <v>1722</v>
      </c>
      <c r="I250" t="s">
        <v>1773</v>
      </c>
      <c r="J250" t="s">
        <v>2022</v>
      </c>
      <c r="K250" t="s">
        <v>2366</v>
      </c>
      <c r="M250" t="s">
        <v>2499</v>
      </c>
      <c r="N250" t="s">
        <v>2727</v>
      </c>
      <c r="O250" t="s">
        <v>2728</v>
      </c>
      <c r="P250">
        <v>0</v>
      </c>
      <c r="Q250">
        <v>0</v>
      </c>
      <c r="R250" t="s">
        <v>2730</v>
      </c>
      <c r="S250" t="s">
        <v>2732</v>
      </c>
      <c r="T250" t="s">
        <v>2745</v>
      </c>
      <c r="U250" t="s">
        <v>3096</v>
      </c>
      <c r="W250" t="s">
        <v>2499</v>
      </c>
      <c r="X250" t="s">
        <v>3594</v>
      </c>
    </row>
    <row r="251" spans="1:24">
      <c r="A251">
        <f>HYPERLINK("https://www.philgeps.gov.ph/GEPSNONPILOT/Tender/SplashBidNoticeAbstractUI.aspx?menuIndex=3&amp;refID=7063673&amp;Result=3","7063673")</f>
        <v>0</v>
      </c>
      <c r="B251" t="s">
        <v>115</v>
      </c>
      <c r="C251" t="s">
        <v>577</v>
      </c>
      <c r="D251" t="s">
        <v>1037</v>
      </c>
      <c r="E251" t="s">
        <v>1306</v>
      </c>
      <c r="F251" t="s">
        <v>1712</v>
      </c>
      <c r="G251" t="s">
        <v>1717</v>
      </c>
      <c r="H251" t="s">
        <v>1722</v>
      </c>
      <c r="I251" t="s">
        <v>1727</v>
      </c>
      <c r="J251" t="s">
        <v>2023</v>
      </c>
      <c r="K251" t="s">
        <v>2394</v>
      </c>
      <c r="M251" t="s">
        <v>2506</v>
      </c>
      <c r="N251" t="s">
        <v>2727</v>
      </c>
      <c r="O251" t="s">
        <v>2728</v>
      </c>
      <c r="P251">
        <v>0</v>
      </c>
      <c r="Q251">
        <v>0</v>
      </c>
      <c r="R251" t="s">
        <v>2730</v>
      </c>
      <c r="S251" t="s">
        <v>2732</v>
      </c>
      <c r="T251" t="s">
        <v>2745</v>
      </c>
      <c r="U251" t="s">
        <v>3095</v>
      </c>
      <c r="W251" t="s">
        <v>2506</v>
      </c>
      <c r="X251" t="s">
        <v>3594</v>
      </c>
    </row>
    <row r="252" spans="1:24">
      <c r="A252">
        <f>HYPERLINK("https://www.philgeps.gov.ph/GEPSNONPILOT/Tender/SplashBidNoticeAbstractUI.aspx?menuIndex=3&amp;refID=7063860&amp;Result=3","7063860")</f>
        <v>0</v>
      </c>
      <c r="B252" t="s">
        <v>93</v>
      </c>
      <c r="C252" t="s">
        <v>578</v>
      </c>
      <c r="D252" t="s">
        <v>1005</v>
      </c>
      <c r="E252" t="s">
        <v>1307</v>
      </c>
      <c r="F252" t="s">
        <v>1712</v>
      </c>
      <c r="G252" t="s">
        <v>1716</v>
      </c>
      <c r="H252" t="s">
        <v>1722</v>
      </c>
      <c r="I252" t="s">
        <v>1734</v>
      </c>
      <c r="J252" t="s">
        <v>2024</v>
      </c>
      <c r="K252" t="s">
        <v>2367</v>
      </c>
      <c r="M252" t="s">
        <v>2492</v>
      </c>
      <c r="N252" t="s">
        <v>2727</v>
      </c>
      <c r="O252" t="s">
        <v>2728</v>
      </c>
      <c r="P252">
        <v>0</v>
      </c>
      <c r="Q252">
        <v>0</v>
      </c>
      <c r="R252" t="s">
        <v>2730</v>
      </c>
      <c r="S252" t="s">
        <v>2732</v>
      </c>
      <c r="T252" t="s">
        <v>2793</v>
      </c>
      <c r="U252" t="s">
        <v>3097</v>
      </c>
      <c r="V252" t="s">
        <v>3510</v>
      </c>
      <c r="W252" t="s">
        <v>2492</v>
      </c>
      <c r="X252" t="s">
        <v>3594</v>
      </c>
    </row>
    <row r="253" spans="1:24">
      <c r="A253">
        <f>HYPERLINK("https://www.philgeps.gov.ph/GEPSNONPILOT/Tender/SplashBidNoticeAbstractUI.aspx?menuIndex=3&amp;refID=7063722&amp;Result=3","7063722")</f>
        <v>0</v>
      </c>
      <c r="B253" t="s">
        <v>115</v>
      </c>
      <c r="C253" t="s">
        <v>579</v>
      </c>
      <c r="D253" t="s">
        <v>1037</v>
      </c>
      <c r="E253" t="s">
        <v>1308</v>
      </c>
      <c r="F253" t="s">
        <v>1712</v>
      </c>
      <c r="G253" t="s">
        <v>1717</v>
      </c>
      <c r="H253" t="s">
        <v>1722</v>
      </c>
      <c r="I253" t="s">
        <v>1727</v>
      </c>
      <c r="J253" t="s">
        <v>2025</v>
      </c>
      <c r="K253" t="s">
        <v>2394</v>
      </c>
      <c r="M253" t="s">
        <v>2506</v>
      </c>
      <c r="N253" t="s">
        <v>2727</v>
      </c>
      <c r="O253" t="s">
        <v>2728</v>
      </c>
      <c r="P253">
        <v>0</v>
      </c>
      <c r="Q253">
        <v>0</v>
      </c>
      <c r="R253" t="s">
        <v>2730</v>
      </c>
      <c r="S253" t="s">
        <v>2732</v>
      </c>
      <c r="T253" t="s">
        <v>2745</v>
      </c>
      <c r="U253" t="s">
        <v>3095</v>
      </c>
      <c r="W253" t="s">
        <v>2506</v>
      </c>
      <c r="X253" t="s">
        <v>3594</v>
      </c>
    </row>
    <row r="254" spans="1:24">
      <c r="A254">
        <f>HYPERLINK("https://www.philgeps.gov.ph/GEPSNONPILOT/Tender/SplashBidNoticeAbstractUI.aspx?menuIndex=3&amp;refID=7063614&amp;Result=3","7063614")</f>
        <v>0</v>
      </c>
      <c r="B254" t="s">
        <v>93</v>
      </c>
      <c r="C254" t="s">
        <v>580</v>
      </c>
      <c r="D254" t="s">
        <v>1005</v>
      </c>
      <c r="E254" t="s">
        <v>1309</v>
      </c>
      <c r="F254" t="s">
        <v>1712</v>
      </c>
      <c r="G254" t="s">
        <v>1716</v>
      </c>
      <c r="H254" t="s">
        <v>1722</v>
      </c>
      <c r="I254" t="s">
        <v>1727</v>
      </c>
      <c r="J254" t="s">
        <v>2002</v>
      </c>
      <c r="K254" t="s">
        <v>2367</v>
      </c>
      <c r="M254" t="s">
        <v>2492</v>
      </c>
      <c r="N254" t="s">
        <v>2727</v>
      </c>
      <c r="O254" t="s">
        <v>2728</v>
      </c>
      <c r="P254">
        <v>0</v>
      </c>
      <c r="Q254">
        <v>0</v>
      </c>
      <c r="R254" t="s">
        <v>2730</v>
      </c>
      <c r="S254" t="s">
        <v>2732</v>
      </c>
      <c r="T254" t="s">
        <v>2793</v>
      </c>
      <c r="U254" t="s">
        <v>3098</v>
      </c>
      <c r="V254" t="s">
        <v>3511</v>
      </c>
      <c r="W254" t="s">
        <v>2492</v>
      </c>
      <c r="X254" t="s">
        <v>3594</v>
      </c>
    </row>
    <row r="255" spans="1:24">
      <c r="A255">
        <f>HYPERLINK("https://www.philgeps.gov.ph/GEPSNONPILOT/Tender/SplashBidNoticeAbstractUI.aspx?menuIndex=3&amp;refID=7063872&amp;Result=3","7063872")</f>
        <v>0</v>
      </c>
      <c r="B255" t="s">
        <v>116</v>
      </c>
      <c r="C255" t="s">
        <v>581</v>
      </c>
      <c r="D255" t="s">
        <v>1003</v>
      </c>
      <c r="E255" t="s">
        <v>1310</v>
      </c>
      <c r="F255" t="s">
        <v>1712</v>
      </c>
      <c r="G255" t="s">
        <v>1717</v>
      </c>
      <c r="H255" t="s">
        <v>1723</v>
      </c>
      <c r="I255" t="s">
        <v>1729</v>
      </c>
      <c r="J255" t="s">
        <v>2026</v>
      </c>
      <c r="K255" t="s">
        <v>2374</v>
      </c>
      <c r="M255" t="s">
        <v>2507</v>
      </c>
      <c r="N255" t="s">
        <v>2727</v>
      </c>
      <c r="O255" t="s">
        <v>2728</v>
      </c>
      <c r="P255">
        <v>0</v>
      </c>
      <c r="Q255">
        <v>0</v>
      </c>
      <c r="R255" t="s">
        <v>2730</v>
      </c>
      <c r="S255" t="s">
        <v>2732</v>
      </c>
      <c r="T255" t="s">
        <v>2774</v>
      </c>
      <c r="U255" t="s">
        <v>3099</v>
      </c>
      <c r="W255" t="s">
        <v>2507</v>
      </c>
      <c r="X255" t="s">
        <v>3594</v>
      </c>
    </row>
    <row r="256" spans="1:24">
      <c r="A256">
        <f>HYPERLINK("https://www.philgeps.gov.ph/GEPSNONPILOT/Tender/SplashBidNoticeAbstractUI.aspx?menuIndex=3&amp;refID=7063661&amp;Result=3","7063661")</f>
        <v>0</v>
      </c>
      <c r="B256" t="s">
        <v>117</v>
      </c>
      <c r="C256" t="s">
        <v>582</v>
      </c>
      <c r="D256" t="s">
        <v>1022</v>
      </c>
      <c r="E256" t="s">
        <v>1311</v>
      </c>
      <c r="F256" t="s">
        <v>1712</v>
      </c>
      <c r="G256" t="s">
        <v>1716</v>
      </c>
      <c r="H256" t="s">
        <v>1723</v>
      </c>
      <c r="I256" t="s">
        <v>1729</v>
      </c>
      <c r="J256" t="s">
        <v>2027</v>
      </c>
      <c r="K256" t="s">
        <v>2367</v>
      </c>
      <c r="M256" t="s">
        <v>2508</v>
      </c>
      <c r="N256" t="s">
        <v>2727</v>
      </c>
      <c r="O256" t="s">
        <v>2728</v>
      </c>
      <c r="P256">
        <v>0</v>
      </c>
      <c r="Q256">
        <v>0</v>
      </c>
      <c r="R256" t="s">
        <v>2730</v>
      </c>
      <c r="S256" t="s">
        <v>2732</v>
      </c>
      <c r="T256" t="s">
        <v>2752</v>
      </c>
      <c r="U256" t="s">
        <v>3100</v>
      </c>
      <c r="V256" t="s">
        <v>3512</v>
      </c>
      <c r="W256" t="s">
        <v>2508</v>
      </c>
      <c r="X256" t="s">
        <v>3594</v>
      </c>
    </row>
    <row r="257" spans="1:24">
      <c r="A257">
        <f>HYPERLINK("https://www.philgeps.gov.ph/GEPSNONPILOT/Tender/SplashBidNoticeAbstractUI.aspx?menuIndex=3&amp;refID=7063397&amp;Result=3","7063397")</f>
        <v>0</v>
      </c>
      <c r="B257" t="s">
        <v>105</v>
      </c>
      <c r="C257" t="s">
        <v>583</v>
      </c>
      <c r="D257" t="s">
        <v>1021</v>
      </c>
      <c r="E257" t="s">
        <v>1312</v>
      </c>
      <c r="F257" t="s">
        <v>1712</v>
      </c>
      <c r="G257" t="s">
        <v>1716</v>
      </c>
      <c r="H257" t="s">
        <v>1722</v>
      </c>
      <c r="I257" t="s">
        <v>1749</v>
      </c>
      <c r="J257" t="s">
        <v>2028</v>
      </c>
      <c r="K257" t="s">
        <v>2366</v>
      </c>
      <c r="M257" t="s">
        <v>2496</v>
      </c>
      <c r="N257" t="s">
        <v>2727</v>
      </c>
      <c r="O257" t="s">
        <v>2728</v>
      </c>
      <c r="P257">
        <v>0</v>
      </c>
      <c r="Q257">
        <v>0</v>
      </c>
      <c r="R257" t="s">
        <v>2730</v>
      </c>
      <c r="S257" t="s">
        <v>2732</v>
      </c>
      <c r="T257" t="s">
        <v>2753</v>
      </c>
      <c r="U257" t="s">
        <v>3101</v>
      </c>
      <c r="W257" t="s">
        <v>2496</v>
      </c>
      <c r="X257" t="s">
        <v>3594</v>
      </c>
    </row>
    <row r="258" spans="1:24">
      <c r="A258">
        <f>HYPERLINK("https://www.philgeps.gov.ph/GEPSNONPILOT/Tender/SplashBidNoticeAbstractUI.aspx?menuIndex=3&amp;refID=7063489&amp;Result=3","7063489")</f>
        <v>0</v>
      </c>
      <c r="B258" t="s">
        <v>118</v>
      </c>
      <c r="C258" t="s">
        <v>584</v>
      </c>
      <c r="E258" t="s">
        <v>1313</v>
      </c>
      <c r="F258" t="s">
        <v>1712</v>
      </c>
      <c r="G258" t="s">
        <v>1717</v>
      </c>
      <c r="H258" t="s">
        <v>1722</v>
      </c>
      <c r="I258" t="s">
        <v>1737</v>
      </c>
      <c r="J258" t="s">
        <v>2029</v>
      </c>
      <c r="K258" t="s">
        <v>2359</v>
      </c>
      <c r="M258" t="s">
        <v>2509</v>
      </c>
      <c r="N258" t="s">
        <v>2727</v>
      </c>
      <c r="O258" t="s">
        <v>2728</v>
      </c>
      <c r="P258">
        <v>0</v>
      </c>
      <c r="Q258">
        <v>0</v>
      </c>
      <c r="R258" t="s">
        <v>2730</v>
      </c>
      <c r="S258" t="s">
        <v>2732</v>
      </c>
      <c r="T258" t="s">
        <v>2787</v>
      </c>
      <c r="U258" t="s">
        <v>3102</v>
      </c>
      <c r="W258" t="s">
        <v>2509</v>
      </c>
      <c r="X258" t="s">
        <v>3594</v>
      </c>
    </row>
    <row r="259" spans="1:24">
      <c r="A259">
        <f>HYPERLINK("https://www.philgeps.gov.ph/GEPSNONPILOT/Tender/SplashBidNoticeAbstractUI.aspx?menuIndex=3&amp;refID=7063877&amp;Result=3","7063877")</f>
        <v>0</v>
      </c>
      <c r="B259" t="s">
        <v>119</v>
      </c>
      <c r="C259" t="s">
        <v>585</v>
      </c>
      <c r="D259" t="s">
        <v>1001</v>
      </c>
      <c r="E259" t="s">
        <v>1314</v>
      </c>
      <c r="F259" t="s">
        <v>1712</v>
      </c>
      <c r="G259" t="s">
        <v>1718</v>
      </c>
      <c r="H259" t="s">
        <v>1722</v>
      </c>
      <c r="I259" t="s">
        <v>1777</v>
      </c>
      <c r="J259" t="s">
        <v>2030</v>
      </c>
      <c r="K259" t="s">
        <v>2370</v>
      </c>
      <c r="M259" t="s">
        <v>2510</v>
      </c>
      <c r="N259" t="s">
        <v>2727</v>
      </c>
      <c r="O259" t="s">
        <v>2728</v>
      </c>
      <c r="P259">
        <v>0</v>
      </c>
      <c r="Q259">
        <v>0</v>
      </c>
      <c r="R259" t="s">
        <v>2730</v>
      </c>
      <c r="S259" t="s">
        <v>2732</v>
      </c>
      <c r="T259" t="s">
        <v>2787</v>
      </c>
      <c r="U259" t="s">
        <v>3103</v>
      </c>
      <c r="W259" t="s">
        <v>2510</v>
      </c>
      <c r="X259" t="s">
        <v>3594</v>
      </c>
    </row>
    <row r="260" spans="1:24">
      <c r="A260">
        <f>HYPERLINK("https://www.philgeps.gov.ph/GEPSNONPILOT/Tender/SplashBidNoticeAbstractUI.aspx?menuIndex=3&amp;refID=7063603&amp;Result=3","7063603")</f>
        <v>0</v>
      </c>
      <c r="B260" t="s">
        <v>88</v>
      </c>
      <c r="C260" t="s">
        <v>586</v>
      </c>
      <c r="D260" t="s">
        <v>1020</v>
      </c>
      <c r="E260" t="s">
        <v>1315</v>
      </c>
      <c r="F260" t="s">
        <v>1712</v>
      </c>
      <c r="G260" t="s">
        <v>1716</v>
      </c>
      <c r="H260" t="s">
        <v>1722</v>
      </c>
      <c r="I260" t="s">
        <v>1727</v>
      </c>
      <c r="J260" t="s">
        <v>2031</v>
      </c>
      <c r="K260" t="s">
        <v>2358</v>
      </c>
      <c r="M260" t="s">
        <v>2478</v>
      </c>
      <c r="N260" t="s">
        <v>2727</v>
      </c>
      <c r="O260" t="s">
        <v>2728</v>
      </c>
      <c r="P260">
        <v>0</v>
      </c>
      <c r="Q260">
        <v>0</v>
      </c>
      <c r="R260" t="s">
        <v>2730</v>
      </c>
      <c r="S260" t="s">
        <v>2732</v>
      </c>
      <c r="T260" t="s">
        <v>2758</v>
      </c>
      <c r="U260" t="s">
        <v>3032</v>
      </c>
      <c r="W260" t="s">
        <v>2478</v>
      </c>
      <c r="X260" t="s">
        <v>3594</v>
      </c>
    </row>
    <row r="261" spans="1:24">
      <c r="A261">
        <f>HYPERLINK("https://www.philgeps.gov.ph/GEPSNONPILOT/Tender/SplashBidNoticeAbstractUI.aspx?menuIndex=3&amp;refID=7063401&amp;Result=3","7063401")</f>
        <v>0</v>
      </c>
      <c r="B261" t="s">
        <v>103</v>
      </c>
      <c r="C261" t="s">
        <v>587</v>
      </c>
      <c r="D261" t="s">
        <v>1018</v>
      </c>
      <c r="E261" t="s">
        <v>1316</v>
      </c>
      <c r="F261" t="s">
        <v>1712</v>
      </c>
      <c r="G261" t="s">
        <v>1716</v>
      </c>
      <c r="H261" t="s">
        <v>1723</v>
      </c>
      <c r="I261" t="s">
        <v>1729</v>
      </c>
      <c r="J261" t="s">
        <v>2032</v>
      </c>
      <c r="K261" t="s">
        <v>2395</v>
      </c>
      <c r="M261" t="s">
        <v>2494</v>
      </c>
      <c r="N261" t="s">
        <v>2727</v>
      </c>
      <c r="O261" t="s">
        <v>2728</v>
      </c>
      <c r="P261">
        <v>0</v>
      </c>
      <c r="Q261">
        <v>0</v>
      </c>
      <c r="R261" t="s">
        <v>2730</v>
      </c>
      <c r="S261" t="s">
        <v>2732</v>
      </c>
      <c r="T261" t="s">
        <v>2799</v>
      </c>
      <c r="U261" t="s">
        <v>3104</v>
      </c>
      <c r="W261" t="s">
        <v>2494</v>
      </c>
      <c r="X261" t="s">
        <v>3594</v>
      </c>
    </row>
    <row r="262" spans="1:24">
      <c r="A262">
        <f>HYPERLINK("https://www.philgeps.gov.ph/GEPSNONPILOT/Tender/SplashBidNoticeAbstractUI.aspx?menuIndex=3&amp;refID=7063955&amp;Result=3","7063955")</f>
        <v>0</v>
      </c>
      <c r="B262" t="s">
        <v>120</v>
      </c>
      <c r="C262" t="s">
        <v>588</v>
      </c>
      <c r="D262" t="s">
        <v>1038</v>
      </c>
      <c r="E262" t="s">
        <v>1317</v>
      </c>
      <c r="F262" t="s">
        <v>1712</v>
      </c>
      <c r="G262" t="s">
        <v>1716</v>
      </c>
      <c r="H262" t="s">
        <v>1723</v>
      </c>
      <c r="I262" t="s">
        <v>1729</v>
      </c>
      <c r="J262" t="s">
        <v>2033</v>
      </c>
      <c r="K262" t="s">
        <v>2367</v>
      </c>
      <c r="M262" t="s">
        <v>2511</v>
      </c>
      <c r="N262" t="s">
        <v>2727</v>
      </c>
      <c r="O262" t="s">
        <v>2728</v>
      </c>
      <c r="P262">
        <v>0</v>
      </c>
      <c r="Q262">
        <v>0</v>
      </c>
      <c r="R262" t="s">
        <v>2730</v>
      </c>
      <c r="S262" t="s">
        <v>2732</v>
      </c>
      <c r="T262" t="s">
        <v>2804</v>
      </c>
      <c r="U262" t="s">
        <v>3105</v>
      </c>
      <c r="W262" t="s">
        <v>2511</v>
      </c>
      <c r="X262" t="s">
        <v>3594</v>
      </c>
    </row>
    <row r="263" spans="1:24">
      <c r="A263">
        <f>HYPERLINK("https://www.philgeps.gov.ph/GEPSNONPILOT/Tender/SplashBidNoticeAbstractUI.aspx?menuIndex=3&amp;refID=7063884&amp;Result=3","7063884")</f>
        <v>0</v>
      </c>
      <c r="B263" t="s">
        <v>121</v>
      </c>
      <c r="C263" t="s">
        <v>589</v>
      </c>
      <c r="D263" t="s">
        <v>1039</v>
      </c>
      <c r="E263" t="s">
        <v>1318</v>
      </c>
      <c r="F263" t="s">
        <v>1712</v>
      </c>
      <c r="G263" t="s">
        <v>1716</v>
      </c>
      <c r="H263" t="s">
        <v>1722</v>
      </c>
      <c r="I263" t="s">
        <v>1727</v>
      </c>
      <c r="J263" t="s">
        <v>1900</v>
      </c>
      <c r="K263" t="s">
        <v>2371</v>
      </c>
      <c r="M263" t="s">
        <v>2512</v>
      </c>
      <c r="N263" t="s">
        <v>2727</v>
      </c>
      <c r="O263" t="s">
        <v>2728</v>
      </c>
      <c r="P263">
        <v>0</v>
      </c>
      <c r="Q263">
        <v>0</v>
      </c>
      <c r="R263" t="s">
        <v>2730</v>
      </c>
      <c r="S263" t="s">
        <v>2732</v>
      </c>
      <c r="T263" t="s">
        <v>2747</v>
      </c>
      <c r="U263" t="s">
        <v>3106</v>
      </c>
      <c r="W263" t="s">
        <v>2512</v>
      </c>
      <c r="X263" t="s">
        <v>3594</v>
      </c>
    </row>
    <row r="264" spans="1:24">
      <c r="A264">
        <f>HYPERLINK("https://www.philgeps.gov.ph/GEPSNONPILOT/Tender/SplashBidNoticeAbstractUI.aspx?menuIndex=3&amp;refID=7063982&amp;Result=3","7063982")</f>
        <v>0</v>
      </c>
      <c r="B264" t="s">
        <v>120</v>
      </c>
      <c r="C264" t="s">
        <v>590</v>
      </c>
      <c r="D264" t="s">
        <v>1038</v>
      </c>
      <c r="E264" t="s">
        <v>1319</v>
      </c>
      <c r="F264" t="s">
        <v>1712</v>
      </c>
      <c r="G264" t="s">
        <v>1716</v>
      </c>
      <c r="H264" t="s">
        <v>1723</v>
      </c>
      <c r="I264" t="s">
        <v>1729</v>
      </c>
      <c r="J264" t="s">
        <v>2034</v>
      </c>
      <c r="K264" t="s">
        <v>2367</v>
      </c>
      <c r="M264" t="s">
        <v>2511</v>
      </c>
      <c r="N264" t="s">
        <v>2727</v>
      </c>
      <c r="O264" t="s">
        <v>2728</v>
      </c>
      <c r="P264">
        <v>0</v>
      </c>
      <c r="Q264">
        <v>0</v>
      </c>
      <c r="R264" t="s">
        <v>2730</v>
      </c>
      <c r="S264" t="s">
        <v>2732</v>
      </c>
      <c r="T264" t="s">
        <v>2804</v>
      </c>
      <c r="U264" t="s">
        <v>3105</v>
      </c>
      <c r="W264" t="s">
        <v>2511</v>
      </c>
      <c r="X264" t="s">
        <v>3594</v>
      </c>
    </row>
    <row r="265" spans="1:24">
      <c r="A265">
        <f>HYPERLINK("https://www.philgeps.gov.ph/GEPSNONPILOT/Tender/SplashBidNoticeAbstractUI.aspx?menuIndex=3&amp;refID=7064405&amp;Result=3","7064405")</f>
        <v>0</v>
      </c>
      <c r="B265" t="s">
        <v>122</v>
      </c>
      <c r="C265" t="s">
        <v>591</v>
      </c>
      <c r="D265" t="s">
        <v>1014</v>
      </c>
      <c r="E265" t="s">
        <v>1320</v>
      </c>
      <c r="F265" t="s">
        <v>1712</v>
      </c>
      <c r="G265" t="s">
        <v>1716</v>
      </c>
      <c r="H265" t="s">
        <v>1722</v>
      </c>
      <c r="I265" t="s">
        <v>1739</v>
      </c>
      <c r="J265" t="s">
        <v>2035</v>
      </c>
      <c r="K265" t="s">
        <v>2359</v>
      </c>
      <c r="M265" t="s">
        <v>2513</v>
      </c>
      <c r="N265" t="s">
        <v>2727</v>
      </c>
      <c r="O265" t="s">
        <v>2728</v>
      </c>
      <c r="P265">
        <v>0</v>
      </c>
      <c r="Q265">
        <v>0</v>
      </c>
      <c r="R265" t="s">
        <v>2730</v>
      </c>
      <c r="S265" t="s">
        <v>2732</v>
      </c>
      <c r="T265" t="s">
        <v>2801</v>
      </c>
      <c r="U265" t="s">
        <v>3107</v>
      </c>
      <c r="W265" t="s">
        <v>2513</v>
      </c>
      <c r="X265" t="s">
        <v>3594</v>
      </c>
    </row>
    <row r="266" spans="1:24">
      <c r="A266">
        <f>HYPERLINK("https://www.philgeps.gov.ph/GEPSNONPILOT/Tender/SplashBidNoticeAbstractUI.aspx?menuIndex=3&amp;refID=7064388&amp;Result=3","7064388")</f>
        <v>0</v>
      </c>
      <c r="B266" t="s">
        <v>122</v>
      </c>
      <c r="C266" t="s">
        <v>591</v>
      </c>
      <c r="D266" t="s">
        <v>1014</v>
      </c>
      <c r="E266" t="s">
        <v>1321</v>
      </c>
      <c r="F266" t="s">
        <v>1712</v>
      </c>
      <c r="G266" t="s">
        <v>1716</v>
      </c>
      <c r="H266" t="s">
        <v>1722</v>
      </c>
      <c r="I266" t="s">
        <v>1739</v>
      </c>
      <c r="J266" t="s">
        <v>2035</v>
      </c>
      <c r="K266" t="s">
        <v>2359</v>
      </c>
      <c r="M266" t="s">
        <v>2513</v>
      </c>
      <c r="N266" t="s">
        <v>2727</v>
      </c>
      <c r="O266" t="s">
        <v>2728</v>
      </c>
      <c r="P266">
        <v>0</v>
      </c>
      <c r="Q266">
        <v>0</v>
      </c>
      <c r="R266" t="s">
        <v>2730</v>
      </c>
      <c r="S266" t="s">
        <v>2732</v>
      </c>
      <c r="T266" t="s">
        <v>2801</v>
      </c>
      <c r="U266" t="s">
        <v>3107</v>
      </c>
      <c r="W266" t="s">
        <v>2513</v>
      </c>
      <c r="X266" t="s">
        <v>3594</v>
      </c>
    </row>
    <row r="267" spans="1:24">
      <c r="A267">
        <f>HYPERLINK("https://www.philgeps.gov.ph/GEPSNONPILOT/Tender/SplashBidNoticeAbstractUI.aspx?menuIndex=3&amp;refID=7063988&amp;Result=3","7063988")</f>
        <v>0</v>
      </c>
      <c r="B267" t="s">
        <v>123</v>
      </c>
      <c r="C267" t="s">
        <v>592</v>
      </c>
      <c r="D267" t="s">
        <v>1035</v>
      </c>
      <c r="E267" t="s">
        <v>1322</v>
      </c>
      <c r="F267" t="s">
        <v>1712</v>
      </c>
      <c r="G267" t="s">
        <v>1716</v>
      </c>
      <c r="H267" t="s">
        <v>1722</v>
      </c>
      <c r="I267" t="s">
        <v>1727</v>
      </c>
      <c r="J267" t="s">
        <v>2036</v>
      </c>
      <c r="K267" t="s">
        <v>2358</v>
      </c>
      <c r="M267" t="s">
        <v>2514</v>
      </c>
      <c r="N267" t="s">
        <v>2727</v>
      </c>
      <c r="O267" t="s">
        <v>2728</v>
      </c>
      <c r="P267">
        <v>0</v>
      </c>
      <c r="Q267">
        <v>0</v>
      </c>
      <c r="R267" t="s">
        <v>2730</v>
      </c>
      <c r="S267" t="s">
        <v>2732</v>
      </c>
      <c r="T267" t="s">
        <v>2739</v>
      </c>
      <c r="U267" t="s">
        <v>3108</v>
      </c>
      <c r="W267" t="s">
        <v>3578</v>
      </c>
      <c r="X267" t="s">
        <v>3594</v>
      </c>
    </row>
    <row r="268" spans="1:24">
      <c r="A268">
        <f>HYPERLINK("https://www.philgeps.gov.ph/GEPSNONPILOT/Tender/SplashBidNoticeAbstractUI.aspx?menuIndex=3&amp;refID=7063970&amp;Result=3","7063970")</f>
        <v>0</v>
      </c>
      <c r="B268" t="s">
        <v>120</v>
      </c>
      <c r="C268" t="s">
        <v>593</v>
      </c>
      <c r="D268" t="s">
        <v>1038</v>
      </c>
      <c r="E268" t="s">
        <v>1323</v>
      </c>
      <c r="F268" t="s">
        <v>1712</v>
      </c>
      <c r="G268" t="s">
        <v>1716</v>
      </c>
      <c r="H268" t="s">
        <v>1723</v>
      </c>
      <c r="I268" t="s">
        <v>1729</v>
      </c>
      <c r="J268" t="s">
        <v>2037</v>
      </c>
      <c r="K268" t="s">
        <v>2367</v>
      </c>
      <c r="M268" t="s">
        <v>2511</v>
      </c>
      <c r="N268" t="s">
        <v>2727</v>
      </c>
      <c r="O268" t="s">
        <v>2728</v>
      </c>
      <c r="P268">
        <v>0</v>
      </c>
      <c r="Q268">
        <v>0</v>
      </c>
      <c r="R268" t="s">
        <v>2730</v>
      </c>
      <c r="S268" t="s">
        <v>2732</v>
      </c>
      <c r="T268" t="s">
        <v>2804</v>
      </c>
      <c r="U268" t="s">
        <v>3105</v>
      </c>
      <c r="W268" t="s">
        <v>2511</v>
      </c>
      <c r="X268" t="s">
        <v>3594</v>
      </c>
    </row>
    <row r="269" spans="1:24">
      <c r="A269">
        <f>HYPERLINK("https://www.philgeps.gov.ph/GEPSNONPILOT/Tender/SplashBidNoticeAbstractUI.aspx?menuIndex=3&amp;refID=7064379&amp;Result=3","7064379")</f>
        <v>0</v>
      </c>
      <c r="B269" t="s">
        <v>124</v>
      </c>
      <c r="C269" t="s">
        <v>594</v>
      </c>
      <c r="D269" t="s">
        <v>1022</v>
      </c>
      <c r="E269" t="s">
        <v>1324</v>
      </c>
      <c r="F269" t="s">
        <v>1712</v>
      </c>
      <c r="G269" t="s">
        <v>1717</v>
      </c>
      <c r="H269" t="s">
        <v>1722</v>
      </c>
      <c r="I269" t="s">
        <v>1752</v>
      </c>
      <c r="J269" t="s">
        <v>2038</v>
      </c>
      <c r="K269" t="s">
        <v>2381</v>
      </c>
      <c r="M269" t="s">
        <v>2515</v>
      </c>
      <c r="N269" t="s">
        <v>2727</v>
      </c>
      <c r="O269" t="s">
        <v>2728</v>
      </c>
      <c r="P269">
        <v>0</v>
      </c>
      <c r="Q269">
        <v>0</v>
      </c>
      <c r="R269" t="s">
        <v>2730</v>
      </c>
      <c r="S269" t="s">
        <v>2732</v>
      </c>
      <c r="T269" t="s">
        <v>2763</v>
      </c>
      <c r="U269" t="s">
        <v>3109</v>
      </c>
      <c r="W269" t="s">
        <v>2515</v>
      </c>
      <c r="X269" t="s">
        <v>3594</v>
      </c>
    </row>
    <row r="270" spans="1:24">
      <c r="A270">
        <f>HYPERLINK("https://www.philgeps.gov.ph/GEPSNONPILOT/Tender/SplashBidNoticeAbstractUI.aspx?menuIndex=3&amp;refID=7064037&amp;Result=3","7064037")</f>
        <v>0</v>
      </c>
      <c r="B270" t="s">
        <v>125</v>
      </c>
      <c r="C270" t="s">
        <v>595</v>
      </c>
      <c r="D270" t="s">
        <v>1040</v>
      </c>
      <c r="E270" t="s">
        <v>1325</v>
      </c>
      <c r="F270" t="s">
        <v>1712</v>
      </c>
      <c r="G270" t="s">
        <v>1716</v>
      </c>
      <c r="H270" t="s">
        <v>1722</v>
      </c>
      <c r="I270" t="s">
        <v>1732</v>
      </c>
      <c r="J270" t="s">
        <v>2039</v>
      </c>
      <c r="K270" t="s">
        <v>2371</v>
      </c>
      <c r="M270" t="s">
        <v>2516</v>
      </c>
      <c r="N270" t="s">
        <v>2727</v>
      </c>
      <c r="O270" t="s">
        <v>2728</v>
      </c>
      <c r="P270">
        <v>0</v>
      </c>
      <c r="Q270">
        <v>0</v>
      </c>
      <c r="R270" t="s">
        <v>2730</v>
      </c>
      <c r="S270" t="s">
        <v>2732</v>
      </c>
      <c r="T270" t="s">
        <v>2805</v>
      </c>
      <c r="U270" t="s">
        <v>3110</v>
      </c>
      <c r="W270" t="s">
        <v>2516</v>
      </c>
      <c r="X270" t="s">
        <v>3594</v>
      </c>
    </row>
    <row r="271" spans="1:24">
      <c r="A271">
        <f>HYPERLINK("https://www.philgeps.gov.ph/GEPSNONPILOT/Tender/SplashBidNoticeAbstractUI.aspx?menuIndex=3&amp;refID=7064370&amp;Result=3","7064370")</f>
        <v>0</v>
      </c>
      <c r="B271" t="s">
        <v>122</v>
      </c>
      <c r="C271" t="s">
        <v>596</v>
      </c>
      <c r="D271" t="s">
        <v>1014</v>
      </c>
      <c r="E271" t="s">
        <v>1326</v>
      </c>
      <c r="F271" t="s">
        <v>1712</v>
      </c>
      <c r="G271" t="s">
        <v>1716</v>
      </c>
      <c r="H271" t="s">
        <v>1722</v>
      </c>
      <c r="I271" t="s">
        <v>1773</v>
      </c>
      <c r="J271" t="s">
        <v>2040</v>
      </c>
      <c r="K271" t="s">
        <v>2359</v>
      </c>
      <c r="M271" t="s">
        <v>2513</v>
      </c>
      <c r="N271" t="s">
        <v>2727</v>
      </c>
      <c r="O271" t="s">
        <v>2728</v>
      </c>
      <c r="P271">
        <v>0</v>
      </c>
      <c r="Q271">
        <v>0</v>
      </c>
      <c r="R271" t="s">
        <v>2730</v>
      </c>
      <c r="S271" t="s">
        <v>2732</v>
      </c>
      <c r="T271" t="s">
        <v>2801</v>
      </c>
      <c r="U271" t="s">
        <v>3107</v>
      </c>
      <c r="W271" t="s">
        <v>2513</v>
      </c>
      <c r="X271" t="s">
        <v>3594</v>
      </c>
    </row>
    <row r="272" spans="1:24">
      <c r="A272">
        <f>HYPERLINK("https://www.philgeps.gov.ph/GEPSNONPILOT/Tender/SplashBidNoticeAbstractUI.aspx?menuIndex=3&amp;refID=7064043&amp;Result=3","7064043")</f>
        <v>0</v>
      </c>
      <c r="B272" t="s">
        <v>126</v>
      </c>
      <c r="C272" t="s">
        <v>597</v>
      </c>
      <c r="D272" t="s">
        <v>1026</v>
      </c>
      <c r="E272" t="s">
        <v>1327</v>
      </c>
      <c r="F272" t="s">
        <v>1712</v>
      </c>
      <c r="G272" t="s">
        <v>1716</v>
      </c>
      <c r="H272" t="s">
        <v>1722</v>
      </c>
      <c r="I272" t="s">
        <v>1726</v>
      </c>
      <c r="J272" t="s">
        <v>2041</v>
      </c>
      <c r="K272" t="s">
        <v>2365</v>
      </c>
      <c r="M272" t="s">
        <v>2517</v>
      </c>
      <c r="N272" t="s">
        <v>2727</v>
      </c>
      <c r="O272" t="s">
        <v>2728</v>
      </c>
      <c r="P272">
        <v>0</v>
      </c>
      <c r="Q272">
        <v>5</v>
      </c>
      <c r="R272" t="s">
        <v>2730</v>
      </c>
      <c r="S272" t="s">
        <v>2732</v>
      </c>
      <c r="T272" t="s">
        <v>2738</v>
      </c>
      <c r="U272" t="s">
        <v>3111</v>
      </c>
      <c r="V272" t="s">
        <v>3513</v>
      </c>
      <c r="W272" t="s">
        <v>2517</v>
      </c>
      <c r="X272" t="s">
        <v>3594</v>
      </c>
    </row>
    <row r="273" spans="1:24">
      <c r="A273">
        <f>HYPERLINK("https://www.philgeps.gov.ph/GEPSNONPILOT/Tender/SplashBidNoticeAbstractUI.aspx?menuIndex=3&amp;refID=7064354&amp;Result=3","7064354")</f>
        <v>0</v>
      </c>
      <c r="B273" t="s">
        <v>122</v>
      </c>
      <c r="C273" t="s">
        <v>598</v>
      </c>
      <c r="D273" t="s">
        <v>1014</v>
      </c>
      <c r="E273" t="s">
        <v>1328</v>
      </c>
      <c r="F273" t="s">
        <v>1712</v>
      </c>
      <c r="G273" t="s">
        <v>1716</v>
      </c>
      <c r="H273" t="s">
        <v>1722</v>
      </c>
      <c r="I273" t="s">
        <v>1754</v>
      </c>
      <c r="J273" t="s">
        <v>2042</v>
      </c>
      <c r="K273" t="s">
        <v>2359</v>
      </c>
      <c r="M273" t="s">
        <v>2513</v>
      </c>
      <c r="N273" t="s">
        <v>2727</v>
      </c>
      <c r="O273" t="s">
        <v>2728</v>
      </c>
      <c r="P273">
        <v>0</v>
      </c>
      <c r="Q273">
        <v>0</v>
      </c>
      <c r="R273" t="s">
        <v>2730</v>
      </c>
      <c r="S273" t="s">
        <v>2732</v>
      </c>
      <c r="T273" t="s">
        <v>2801</v>
      </c>
      <c r="U273" t="s">
        <v>3107</v>
      </c>
      <c r="W273" t="s">
        <v>2513</v>
      </c>
      <c r="X273" t="s">
        <v>3594</v>
      </c>
    </row>
    <row r="274" spans="1:24">
      <c r="A274">
        <f>HYPERLINK("https://www.philgeps.gov.ph/GEPSNONPILOT/Tender/SplashBidNoticeAbstractUI.aspx?menuIndex=3&amp;refID=7064348&amp;Result=3","7064348")</f>
        <v>0</v>
      </c>
      <c r="B274" t="s">
        <v>122</v>
      </c>
      <c r="C274" t="s">
        <v>598</v>
      </c>
      <c r="D274" t="s">
        <v>1014</v>
      </c>
      <c r="E274" t="s">
        <v>1329</v>
      </c>
      <c r="F274" t="s">
        <v>1712</v>
      </c>
      <c r="G274" t="s">
        <v>1716</v>
      </c>
      <c r="H274" t="s">
        <v>1722</v>
      </c>
      <c r="I274" t="s">
        <v>1754</v>
      </c>
      <c r="J274" t="s">
        <v>2043</v>
      </c>
      <c r="K274" t="s">
        <v>2359</v>
      </c>
      <c r="M274" t="s">
        <v>2513</v>
      </c>
      <c r="N274" t="s">
        <v>2727</v>
      </c>
      <c r="O274" t="s">
        <v>2728</v>
      </c>
      <c r="P274">
        <v>0</v>
      </c>
      <c r="Q274">
        <v>0</v>
      </c>
      <c r="R274" t="s">
        <v>2730</v>
      </c>
      <c r="S274" t="s">
        <v>2732</v>
      </c>
      <c r="T274" t="s">
        <v>2801</v>
      </c>
      <c r="U274" t="s">
        <v>3107</v>
      </c>
      <c r="W274" t="s">
        <v>2513</v>
      </c>
      <c r="X274" t="s">
        <v>3594</v>
      </c>
    </row>
    <row r="275" spans="1:24">
      <c r="A275">
        <f>HYPERLINK("https://www.philgeps.gov.ph/GEPSNONPILOT/Tender/SplashBidNoticeAbstractUI.aspx?menuIndex=3&amp;refID=7064224&amp;Result=3","7064224")</f>
        <v>0</v>
      </c>
      <c r="B275" t="s">
        <v>127</v>
      </c>
      <c r="C275" t="s">
        <v>599</v>
      </c>
      <c r="D275" t="s">
        <v>1011</v>
      </c>
      <c r="E275" t="s">
        <v>1330</v>
      </c>
      <c r="F275" t="s">
        <v>1712</v>
      </c>
      <c r="G275" t="s">
        <v>1716</v>
      </c>
      <c r="H275" t="s">
        <v>1723</v>
      </c>
      <c r="I275" t="s">
        <v>1729</v>
      </c>
      <c r="J275" t="s">
        <v>2044</v>
      </c>
      <c r="K275" t="s">
        <v>2396</v>
      </c>
      <c r="M275" t="s">
        <v>2518</v>
      </c>
      <c r="N275" t="s">
        <v>2727</v>
      </c>
      <c r="O275" t="s">
        <v>2728</v>
      </c>
      <c r="P275">
        <v>0</v>
      </c>
      <c r="Q275">
        <v>0</v>
      </c>
      <c r="R275" t="s">
        <v>2730</v>
      </c>
      <c r="S275" t="s">
        <v>2732</v>
      </c>
      <c r="T275" t="s">
        <v>2785</v>
      </c>
      <c r="U275" t="s">
        <v>3112</v>
      </c>
      <c r="V275" t="s">
        <v>3514</v>
      </c>
      <c r="W275" t="s">
        <v>2518</v>
      </c>
      <c r="X275" t="s">
        <v>3594</v>
      </c>
    </row>
    <row r="276" spans="1:24">
      <c r="A276">
        <f>HYPERLINK("https://www.philgeps.gov.ph/GEPSNONPILOT/Tender/SplashBidNoticeAbstractUI.aspx?menuIndex=3&amp;refID=7064366&amp;Result=3","7064366")</f>
        <v>0</v>
      </c>
      <c r="B276" t="s">
        <v>122</v>
      </c>
      <c r="C276" t="s">
        <v>596</v>
      </c>
      <c r="D276" t="s">
        <v>1014</v>
      </c>
      <c r="E276" t="s">
        <v>1331</v>
      </c>
      <c r="F276" t="s">
        <v>1712</v>
      </c>
      <c r="G276" t="s">
        <v>1716</v>
      </c>
      <c r="H276" t="s">
        <v>1722</v>
      </c>
      <c r="I276" t="s">
        <v>1773</v>
      </c>
      <c r="J276" t="s">
        <v>2040</v>
      </c>
      <c r="K276" t="s">
        <v>2359</v>
      </c>
      <c r="M276" t="s">
        <v>2513</v>
      </c>
      <c r="N276" t="s">
        <v>2727</v>
      </c>
      <c r="O276" t="s">
        <v>2728</v>
      </c>
      <c r="P276">
        <v>0</v>
      </c>
      <c r="Q276">
        <v>0</v>
      </c>
      <c r="R276" t="s">
        <v>2730</v>
      </c>
      <c r="S276" t="s">
        <v>2732</v>
      </c>
      <c r="T276" t="s">
        <v>2801</v>
      </c>
      <c r="U276" t="s">
        <v>3107</v>
      </c>
      <c r="W276" t="s">
        <v>2513</v>
      </c>
      <c r="X276" t="s">
        <v>3594</v>
      </c>
    </row>
    <row r="277" spans="1:24">
      <c r="A277">
        <f>HYPERLINK("https://www.philgeps.gov.ph/GEPSNONPILOT/Tender/SplashBidNoticeAbstractUI.aspx?menuIndex=3&amp;refID=7064376&amp;Result=3","7064376")</f>
        <v>0</v>
      </c>
      <c r="B277" t="s">
        <v>122</v>
      </c>
      <c r="C277" t="s">
        <v>591</v>
      </c>
      <c r="D277" t="s">
        <v>1014</v>
      </c>
      <c r="E277" t="s">
        <v>1332</v>
      </c>
      <c r="F277" t="s">
        <v>1712</v>
      </c>
      <c r="G277" t="s">
        <v>1716</v>
      </c>
      <c r="H277" t="s">
        <v>1722</v>
      </c>
      <c r="I277" t="s">
        <v>1739</v>
      </c>
      <c r="J277" t="s">
        <v>2035</v>
      </c>
      <c r="K277" t="s">
        <v>2359</v>
      </c>
      <c r="M277" t="s">
        <v>2513</v>
      </c>
      <c r="N277" t="s">
        <v>2727</v>
      </c>
      <c r="O277" t="s">
        <v>2728</v>
      </c>
      <c r="P277">
        <v>0</v>
      </c>
      <c r="Q277">
        <v>0</v>
      </c>
      <c r="R277" t="s">
        <v>2730</v>
      </c>
      <c r="S277" t="s">
        <v>2732</v>
      </c>
      <c r="T277" t="s">
        <v>2801</v>
      </c>
      <c r="U277" t="s">
        <v>3113</v>
      </c>
      <c r="W277" t="s">
        <v>2513</v>
      </c>
      <c r="X277" t="s">
        <v>3594</v>
      </c>
    </row>
    <row r="278" spans="1:24">
      <c r="A278">
        <f>HYPERLINK("https://www.philgeps.gov.ph/GEPSNONPILOT/Tender/SplashBidNoticeAbstractUI.aspx?menuIndex=3&amp;refID=7064359&amp;Result=3","7064359")</f>
        <v>0</v>
      </c>
      <c r="B278" t="s">
        <v>122</v>
      </c>
      <c r="C278" t="s">
        <v>596</v>
      </c>
      <c r="D278" t="s">
        <v>1014</v>
      </c>
      <c r="E278" t="s">
        <v>1333</v>
      </c>
      <c r="F278" t="s">
        <v>1712</v>
      </c>
      <c r="G278" t="s">
        <v>1716</v>
      </c>
      <c r="H278" t="s">
        <v>1722</v>
      </c>
      <c r="I278" t="s">
        <v>1773</v>
      </c>
      <c r="J278" t="s">
        <v>2040</v>
      </c>
      <c r="K278" t="s">
        <v>2359</v>
      </c>
      <c r="M278" t="s">
        <v>2513</v>
      </c>
      <c r="N278" t="s">
        <v>2727</v>
      </c>
      <c r="O278" t="s">
        <v>2728</v>
      </c>
      <c r="P278">
        <v>0</v>
      </c>
      <c r="Q278">
        <v>0</v>
      </c>
      <c r="R278" t="s">
        <v>2730</v>
      </c>
      <c r="S278" t="s">
        <v>2732</v>
      </c>
      <c r="T278" t="s">
        <v>2801</v>
      </c>
      <c r="U278" t="s">
        <v>3107</v>
      </c>
      <c r="W278" t="s">
        <v>2513</v>
      </c>
      <c r="X278" t="s">
        <v>3594</v>
      </c>
    </row>
    <row r="279" spans="1:24">
      <c r="A279">
        <f>HYPERLINK("https://www.philgeps.gov.ph/GEPSNONPILOT/Tender/SplashBidNoticeAbstractUI.aspx?menuIndex=3&amp;refID=7064412&amp;Result=3","7064412")</f>
        <v>0</v>
      </c>
      <c r="B279" t="s">
        <v>122</v>
      </c>
      <c r="C279" t="s">
        <v>600</v>
      </c>
      <c r="D279" t="s">
        <v>1014</v>
      </c>
      <c r="E279" t="s">
        <v>1334</v>
      </c>
      <c r="F279" t="s">
        <v>1712</v>
      </c>
      <c r="G279" t="s">
        <v>1716</v>
      </c>
      <c r="H279" t="s">
        <v>1722</v>
      </c>
      <c r="I279" t="s">
        <v>1745</v>
      </c>
      <c r="J279" t="s">
        <v>2045</v>
      </c>
      <c r="K279" t="s">
        <v>2359</v>
      </c>
      <c r="M279" t="s">
        <v>2513</v>
      </c>
      <c r="N279" t="s">
        <v>2727</v>
      </c>
      <c r="O279" t="s">
        <v>2728</v>
      </c>
      <c r="P279">
        <v>0</v>
      </c>
      <c r="Q279">
        <v>0</v>
      </c>
      <c r="R279" t="s">
        <v>2730</v>
      </c>
      <c r="S279" t="s">
        <v>2732</v>
      </c>
      <c r="T279" t="s">
        <v>2801</v>
      </c>
      <c r="U279" t="s">
        <v>3113</v>
      </c>
      <c r="W279" t="s">
        <v>2513</v>
      </c>
      <c r="X279" t="s">
        <v>3594</v>
      </c>
    </row>
    <row r="280" spans="1:24">
      <c r="A280">
        <f>HYPERLINK("https://www.philgeps.gov.ph/GEPSNONPILOT/Tender/SplashBidNoticeAbstractUI.aspx?menuIndex=3&amp;refID=7064254&amp;Result=3","7064254")</f>
        <v>0</v>
      </c>
      <c r="B280" t="s">
        <v>128</v>
      </c>
      <c r="C280" t="s">
        <v>601</v>
      </c>
      <c r="D280" t="s">
        <v>1000</v>
      </c>
      <c r="E280" t="s">
        <v>1330</v>
      </c>
      <c r="F280" t="s">
        <v>1712</v>
      </c>
      <c r="G280" t="s">
        <v>1718</v>
      </c>
      <c r="H280" t="s">
        <v>1722</v>
      </c>
      <c r="I280" t="s">
        <v>1752</v>
      </c>
      <c r="J280" t="s">
        <v>2046</v>
      </c>
      <c r="K280" t="s">
        <v>2360</v>
      </c>
      <c r="M280" t="s">
        <v>2519</v>
      </c>
      <c r="N280" t="s">
        <v>2727</v>
      </c>
      <c r="O280" t="s">
        <v>2728</v>
      </c>
      <c r="P280">
        <v>0</v>
      </c>
      <c r="Q280">
        <v>0</v>
      </c>
      <c r="R280" t="s">
        <v>2730</v>
      </c>
      <c r="S280" t="s">
        <v>2732</v>
      </c>
      <c r="T280" t="s">
        <v>2748</v>
      </c>
      <c r="U280" t="s">
        <v>3114</v>
      </c>
      <c r="V280" t="s">
        <v>3515</v>
      </c>
      <c r="W280" t="s">
        <v>2519</v>
      </c>
      <c r="X280" t="s">
        <v>3594</v>
      </c>
    </row>
    <row r="281" spans="1:24">
      <c r="A281">
        <f>HYPERLINK("https://www.philgeps.gov.ph/GEPSNONPILOT/Tender/SplashBidNoticeAbstractUI.aspx?menuIndex=3&amp;refID=7063971&amp;Result=3","7063971")</f>
        <v>0</v>
      </c>
      <c r="B281" t="s">
        <v>129</v>
      </c>
      <c r="C281" t="s">
        <v>602</v>
      </c>
      <c r="D281" t="s">
        <v>1041</v>
      </c>
      <c r="E281" t="s">
        <v>1335</v>
      </c>
      <c r="F281" t="s">
        <v>1712</v>
      </c>
      <c r="G281" t="s">
        <v>1716</v>
      </c>
      <c r="H281" t="s">
        <v>1723</v>
      </c>
      <c r="I281" t="s">
        <v>1729</v>
      </c>
      <c r="J281" t="s">
        <v>2047</v>
      </c>
      <c r="K281" t="s">
        <v>2365</v>
      </c>
      <c r="M281" t="s">
        <v>2520</v>
      </c>
      <c r="N281" t="s">
        <v>2727</v>
      </c>
      <c r="O281" t="s">
        <v>2728</v>
      </c>
      <c r="P281">
        <v>0</v>
      </c>
      <c r="Q281">
        <v>0</v>
      </c>
      <c r="R281" t="s">
        <v>2730</v>
      </c>
      <c r="S281" t="s">
        <v>2732</v>
      </c>
      <c r="T281" t="s">
        <v>2753</v>
      </c>
      <c r="U281" t="s">
        <v>3115</v>
      </c>
      <c r="W281" t="s">
        <v>2520</v>
      </c>
      <c r="X281" t="s">
        <v>3594</v>
      </c>
    </row>
    <row r="282" spans="1:24">
      <c r="A282">
        <f>HYPERLINK("https://www.philgeps.gov.ph/GEPSNONPILOT/Tender/SplashBidNoticeAbstractUI.aspx?menuIndex=3&amp;refID=7064441&amp;Result=3","7064441")</f>
        <v>0</v>
      </c>
      <c r="B282" t="s">
        <v>130</v>
      </c>
      <c r="C282" t="s">
        <v>603</v>
      </c>
      <c r="E282" t="s">
        <v>1336</v>
      </c>
      <c r="F282" t="s">
        <v>1712</v>
      </c>
      <c r="G282" t="s">
        <v>1717</v>
      </c>
      <c r="H282" t="s">
        <v>1722</v>
      </c>
      <c r="I282" t="s">
        <v>1768</v>
      </c>
      <c r="J282" t="s">
        <v>2048</v>
      </c>
      <c r="K282" t="s">
        <v>2358</v>
      </c>
      <c r="M282" t="s">
        <v>2521</v>
      </c>
      <c r="N282" t="s">
        <v>2727</v>
      </c>
      <c r="O282" t="s">
        <v>2728</v>
      </c>
      <c r="P282">
        <v>0</v>
      </c>
      <c r="Q282">
        <v>0</v>
      </c>
      <c r="R282" t="s">
        <v>2730</v>
      </c>
      <c r="S282" t="s">
        <v>2732</v>
      </c>
      <c r="T282" t="s">
        <v>2774</v>
      </c>
      <c r="U282" t="s">
        <v>3116</v>
      </c>
      <c r="V282" t="s">
        <v>3516</v>
      </c>
      <c r="W282" t="s">
        <v>2521</v>
      </c>
      <c r="X282" t="s">
        <v>3594</v>
      </c>
    </row>
    <row r="283" spans="1:24">
      <c r="A283">
        <f>HYPERLINK("https://www.philgeps.gov.ph/GEPSNONPILOT/Tender/SplashBidNoticeAbstractUI.aspx?menuIndex=3&amp;refID=7064551&amp;Result=3","7064551")</f>
        <v>0</v>
      </c>
      <c r="B283" t="s">
        <v>131</v>
      </c>
      <c r="C283" t="s">
        <v>604</v>
      </c>
      <c r="D283" t="s">
        <v>999</v>
      </c>
      <c r="E283" t="s">
        <v>1337</v>
      </c>
      <c r="F283" t="s">
        <v>1712</v>
      </c>
      <c r="G283" t="s">
        <v>1717</v>
      </c>
      <c r="H283" t="s">
        <v>1722</v>
      </c>
      <c r="I283" t="s">
        <v>1730</v>
      </c>
      <c r="J283" t="s">
        <v>2049</v>
      </c>
      <c r="K283" t="s">
        <v>2367</v>
      </c>
      <c r="M283" t="s">
        <v>2522</v>
      </c>
      <c r="N283" t="s">
        <v>2727</v>
      </c>
      <c r="O283" t="s">
        <v>2728</v>
      </c>
      <c r="P283">
        <v>0</v>
      </c>
      <c r="Q283">
        <v>0</v>
      </c>
      <c r="R283" t="s">
        <v>2730</v>
      </c>
      <c r="S283" t="s">
        <v>2732</v>
      </c>
      <c r="T283" t="s">
        <v>2781</v>
      </c>
      <c r="U283" t="s">
        <v>3117</v>
      </c>
      <c r="W283" t="s">
        <v>2522</v>
      </c>
      <c r="X283" t="s">
        <v>3594</v>
      </c>
    </row>
    <row r="284" spans="1:24">
      <c r="A284">
        <f>HYPERLINK("https://www.philgeps.gov.ph/GEPSNONPILOT/Tender/SplashBidNoticeAbstractUI.aspx?menuIndex=3&amp;refID=7064419&amp;Result=3","7064419")</f>
        <v>0</v>
      </c>
      <c r="B284" t="s">
        <v>122</v>
      </c>
      <c r="C284" t="s">
        <v>605</v>
      </c>
      <c r="D284" t="s">
        <v>1014</v>
      </c>
      <c r="E284" t="s">
        <v>1338</v>
      </c>
      <c r="F284" t="s">
        <v>1712</v>
      </c>
      <c r="G284" t="s">
        <v>1716</v>
      </c>
      <c r="H284" t="s">
        <v>1722</v>
      </c>
      <c r="I284" t="s">
        <v>1738</v>
      </c>
      <c r="J284" t="s">
        <v>2050</v>
      </c>
      <c r="K284" t="s">
        <v>2359</v>
      </c>
      <c r="M284" t="s">
        <v>2513</v>
      </c>
      <c r="N284" t="s">
        <v>2727</v>
      </c>
      <c r="O284" t="s">
        <v>2728</v>
      </c>
      <c r="P284">
        <v>0</v>
      </c>
      <c r="Q284">
        <v>0</v>
      </c>
      <c r="R284" t="s">
        <v>2730</v>
      </c>
      <c r="S284" t="s">
        <v>2732</v>
      </c>
      <c r="T284" t="s">
        <v>2801</v>
      </c>
      <c r="U284" t="s">
        <v>3107</v>
      </c>
      <c r="W284" t="s">
        <v>2513</v>
      </c>
      <c r="X284" t="s">
        <v>3594</v>
      </c>
    </row>
    <row r="285" spans="1:24">
      <c r="A285">
        <f>HYPERLINK("https://www.philgeps.gov.ph/GEPSNONPILOT/Tender/SplashBidNoticeAbstractUI.aspx?menuIndex=3&amp;refID=7064486&amp;Result=3","7064486")</f>
        <v>0</v>
      </c>
      <c r="B285" t="s">
        <v>132</v>
      </c>
      <c r="C285" t="s">
        <v>606</v>
      </c>
      <c r="D285" t="s">
        <v>995</v>
      </c>
      <c r="E285" t="s">
        <v>1339</v>
      </c>
      <c r="F285" t="s">
        <v>1712</v>
      </c>
      <c r="G285" t="s">
        <v>1716</v>
      </c>
      <c r="H285" t="s">
        <v>1722</v>
      </c>
      <c r="I285" t="s">
        <v>1727</v>
      </c>
      <c r="J285" t="s">
        <v>2051</v>
      </c>
      <c r="K285" t="s">
        <v>2370</v>
      </c>
      <c r="M285" t="s">
        <v>2523</v>
      </c>
      <c r="N285" t="s">
        <v>2727</v>
      </c>
      <c r="O285" t="s">
        <v>2728</v>
      </c>
      <c r="P285">
        <v>0</v>
      </c>
      <c r="Q285">
        <v>0</v>
      </c>
      <c r="R285" t="s">
        <v>2730</v>
      </c>
      <c r="S285" t="s">
        <v>2732</v>
      </c>
      <c r="T285" t="s">
        <v>2735</v>
      </c>
      <c r="U285" t="s">
        <v>3118</v>
      </c>
      <c r="V285" t="s">
        <v>3517</v>
      </c>
      <c r="W285" t="s">
        <v>2523</v>
      </c>
      <c r="X285" t="s">
        <v>3594</v>
      </c>
    </row>
    <row r="286" spans="1:24">
      <c r="A286">
        <f>HYPERLINK("https://www.philgeps.gov.ph/GEPSNONPILOT/Tender/SplashBidNoticeAbstractUI.aspx?menuIndex=3&amp;refID=7064444&amp;Result=3","7064444")</f>
        <v>0</v>
      </c>
      <c r="B286" t="s">
        <v>130</v>
      </c>
      <c r="C286" t="s">
        <v>607</v>
      </c>
      <c r="E286" t="s">
        <v>1340</v>
      </c>
      <c r="F286" t="s">
        <v>1712</v>
      </c>
      <c r="G286" t="s">
        <v>1717</v>
      </c>
      <c r="H286" t="s">
        <v>1722</v>
      </c>
      <c r="I286" t="s">
        <v>1768</v>
      </c>
      <c r="J286" t="s">
        <v>2052</v>
      </c>
      <c r="K286" t="s">
        <v>2358</v>
      </c>
      <c r="M286" t="s">
        <v>2521</v>
      </c>
      <c r="N286" t="s">
        <v>2727</v>
      </c>
      <c r="O286" t="s">
        <v>2728</v>
      </c>
      <c r="P286">
        <v>0</v>
      </c>
      <c r="Q286">
        <v>0</v>
      </c>
      <c r="R286" t="s">
        <v>2730</v>
      </c>
      <c r="S286" t="s">
        <v>2732</v>
      </c>
      <c r="T286" t="s">
        <v>2774</v>
      </c>
      <c r="U286" t="s">
        <v>3119</v>
      </c>
      <c r="V286" t="s">
        <v>3518</v>
      </c>
      <c r="W286" t="s">
        <v>2521</v>
      </c>
      <c r="X286" t="s">
        <v>3594</v>
      </c>
    </row>
    <row r="287" spans="1:24">
      <c r="A287">
        <f>HYPERLINK("https://www.philgeps.gov.ph/GEPSNONPILOT/Tender/SplashBidNoticeAbstractUI.aspx?menuIndex=3&amp;refID=7064547&amp;Result=3","7064547")</f>
        <v>0</v>
      </c>
      <c r="B287" t="s">
        <v>133</v>
      </c>
      <c r="C287" t="s">
        <v>608</v>
      </c>
      <c r="D287" t="s">
        <v>1042</v>
      </c>
      <c r="E287" t="s">
        <v>1341</v>
      </c>
      <c r="F287" t="s">
        <v>1712</v>
      </c>
      <c r="G287" t="s">
        <v>1716</v>
      </c>
      <c r="H287" t="s">
        <v>1722</v>
      </c>
      <c r="I287" t="s">
        <v>1778</v>
      </c>
      <c r="J287" t="s">
        <v>2053</v>
      </c>
      <c r="K287" t="s">
        <v>2366</v>
      </c>
      <c r="M287" t="s">
        <v>2524</v>
      </c>
      <c r="N287" t="s">
        <v>2727</v>
      </c>
      <c r="O287" t="s">
        <v>2728</v>
      </c>
      <c r="P287">
        <v>0</v>
      </c>
      <c r="Q287">
        <v>0</v>
      </c>
      <c r="R287" t="s">
        <v>2730</v>
      </c>
      <c r="S287" t="s">
        <v>2732</v>
      </c>
      <c r="T287" t="s">
        <v>2806</v>
      </c>
      <c r="U287" t="s">
        <v>3120</v>
      </c>
      <c r="W287" t="s">
        <v>2524</v>
      </c>
      <c r="X287" t="s">
        <v>3594</v>
      </c>
    </row>
    <row r="288" spans="1:24">
      <c r="A288">
        <f>HYPERLINK("https://www.philgeps.gov.ph/GEPSNONPILOT/Tender/SplashBidNoticeAbstractUI.aspx?menuIndex=3&amp;refID=7064438&amp;Result=3","7064438")</f>
        <v>0</v>
      </c>
      <c r="B288" t="s">
        <v>130</v>
      </c>
      <c r="C288" t="s">
        <v>609</v>
      </c>
      <c r="E288" t="s">
        <v>1342</v>
      </c>
      <c r="F288" t="s">
        <v>1712</v>
      </c>
      <c r="G288" t="s">
        <v>1717</v>
      </c>
      <c r="H288" t="s">
        <v>1722</v>
      </c>
      <c r="I288" t="s">
        <v>1768</v>
      </c>
      <c r="J288" t="s">
        <v>2054</v>
      </c>
      <c r="K288" t="s">
        <v>2358</v>
      </c>
      <c r="M288" t="s">
        <v>2521</v>
      </c>
      <c r="N288" t="s">
        <v>2727</v>
      </c>
      <c r="O288" t="s">
        <v>2728</v>
      </c>
      <c r="P288">
        <v>0</v>
      </c>
      <c r="Q288">
        <v>0</v>
      </c>
      <c r="R288" t="s">
        <v>2730</v>
      </c>
      <c r="S288" t="s">
        <v>2732</v>
      </c>
      <c r="T288" t="s">
        <v>2774</v>
      </c>
      <c r="U288" t="s">
        <v>3121</v>
      </c>
      <c r="V288" t="s">
        <v>3518</v>
      </c>
      <c r="W288" t="s">
        <v>2521</v>
      </c>
      <c r="X288" t="s">
        <v>3594</v>
      </c>
    </row>
    <row r="289" spans="1:24">
      <c r="A289">
        <f>HYPERLINK("https://www.philgeps.gov.ph/GEPSNONPILOT/Tender/SplashBidNoticeAbstractUI.aspx?menuIndex=3&amp;refID=7064442&amp;Result=3","7064442")</f>
        <v>0</v>
      </c>
      <c r="B289" t="s">
        <v>130</v>
      </c>
      <c r="C289" t="s">
        <v>610</v>
      </c>
      <c r="E289" t="s">
        <v>1343</v>
      </c>
      <c r="F289" t="s">
        <v>1712</v>
      </c>
      <c r="G289" t="s">
        <v>1717</v>
      </c>
      <c r="H289" t="s">
        <v>1722</v>
      </c>
      <c r="I289" t="s">
        <v>1768</v>
      </c>
      <c r="J289" t="s">
        <v>2055</v>
      </c>
      <c r="K289" t="s">
        <v>2358</v>
      </c>
      <c r="M289" t="s">
        <v>2521</v>
      </c>
      <c r="N289" t="s">
        <v>2727</v>
      </c>
      <c r="O289" t="s">
        <v>2728</v>
      </c>
      <c r="P289">
        <v>0</v>
      </c>
      <c r="Q289">
        <v>0</v>
      </c>
      <c r="R289" t="s">
        <v>2730</v>
      </c>
      <c r="S289" t="s">
        <v>2732</v>
      </c>
      <c r="T289" t="s">
        <v>2774</v>
      </c>
      <c r="U289" t="s">
        <v>3122</v>
      </c>
      <c r="V289" t="s">
        <v>3518</v>
      </c>
      <c r="W289" t="s">
        <v>2521</v>
      </c>
      <c r="X289" t="s">
        <v>3594</v>
      </c>
    </row>
    <row r="290" spans="1:24">
      <c r="A290">
        <f>HYPERLINK("https://www.philgeps.gov.ph/GEPSNONPILOT/Tender/SplashBidNoticeAbstractUI.aspx?menuIndex=3&amp;refID=7064457&amp;Result=3","7064457")</f>
        <v>0</v>
      </c>
      <c r="B290" t="s">
        <v>132</v>
      </c>
      <c r="C290" t="s">
        <v>611</v>
      </c>
      <c r="D290" t="s">
        <v>995</v>
      </c>
      <c r="E290" t="s">
        <v>1344</v>
      </c>
      <c r="F290" t="s">
        <v>1712</v>
      </c>
      <c r="G290" t="s">
        <v>1716</v>
      </c>
      <c r="H290" t="s">
        <v>1722</v>
      </c>
      <c r="I290" t="s">
        <v>1727</v>
      </c>
      <c r="J290" t="s">
        <v>2056</v>
      </c>
      <c r="K290" t="s">
        <v>2370</v>
      </c>
      <c r="M290" t="s">
        <v>2523</v>
      </c>
      <c r="N290" t="s">
        <v>2727</v>
      </c>
      <c r="O290" t="s">
        <v>2728</v>
      </c>
      <c r="P290">
        <v>0</v>
      </c>
      <c r="Q290">
        <v>0</v>
      </c>
      <c r="R290" t="s">
        <v>2730</v>
      </c>
      <c r="S290" t="s">
        <v>2732</v>
      </c>
      <c r="T290" t="s">
        <v>2735</v>
      </c>
      <c r="U290" t="s">
        <v>3123</v>
      </c>
      <c r="V290" t="s">
        <v>3517</v>
      </c>
      <c r="W290" t="s">
        <v>2523</v>
      </c>
      <c r="X290" t="s">
        <v>3594</v>
      </c>
    </row>
    <row r="291" spans="1:24">
      <c r="A291">
        <f>HYPERLINK("https://www.philgeps.gov.ph/GEPSNONPILOT/Tender/SplashBidNoticeAbstractUI.aspx?menuIndex=3&amp;refID=7064559&amp;Result=3","7064559")</f>
        <v>0</v>
      </c>
      <c r="B291" t="s">
        <v>134</v>
      </c>
      <c r="C291" t="s">
        <v>612</v>
      </c>
      <c r="E291" t="s">
        <v>1345</v>
      </c>
      <c r="F291" t="s">
        <v>1712</v>
      </c>
      <c r="G291" t="s">
        <v>1716</v>
      </c>
      <c r="H291" t="s">
        <v>1723</v>
      </c>
      <c r="I291" t="s">
        <v>1729</v>
      </c>
      <c r="J291" t="s">
        <v>2057</v>
      </c>
      <c r="K291" t="s">
        <v>2397</v>
      </c>
      <c r="M291" t="s">
        <v>2525</v>
      </c>
      <c r="N291" t="s">
        <v>2727</v>
      </c>
      <c r="O291" t="s">
        <v>2728</v>
      </c>
      <c r="P291">
        <v>0</v>
      </c>
      <c r="Q291">
        <v>0</v>
      </c>
      <c r="R291" t="s">
        <v>2730</v>
      </c>
      <c r="S291" t="s">
        <v>2732</v>
      </c>
      <c r="T291" t="s">
        <v>2767</v>
      </c>
      <c r="U291" t="s">
        <v>3124</v>
      </c>
      <c r="W291" t="s">
        <v>2525</v>
      </c>
      <c r="X291" t="s">
        <v>2729</v>
      </c>
    </row>
    <row r="292" spans="1:24">
      <c r="A292">
        <f>HYPERLINK("https://www.philgeps.gov.ph/GEPSNONPILOT/Tender/SplashBidNoticeAbstractUI.aspx?menuIndex=3&amp;refID=7064541&amp;Result=3","7064541")</f>
        <v>0</v>
      </c>
      <c r="B292" t="s">
        <v>133</v>
      </c>
      <c r="C292" t="s">
        <v>613</v>
      </c>
      <c r="D292" t="s">
        <v>1042</v>
      </c>
      <c r="E292" t="s">
        <v>1346</v>
      </c>
      <c r="F292" t="s">
        <v>1712</v>
      </c>
      <c r="G292" t="s">
        <v>1716</v>
      </c>
      <c r="H292" t="s">
        <v>1722</v>
      </c>
      <c r="I292" t="s">
        <v>1761</v>
      </c>
      <c r="J292" t="s">
        <v>2058</v>
      </c>
      <c r="K292" t="s">
        <v>2374</v>
      </c>
      <c r="M292" t="s">
        <v>2524</v>
      </c>
      <c r="N292" t="s">
        <v>2727</v>
      </c>
      <c r="O292" t="s">
        <v>2728</v>
      </c>
      <c r="P292">
        <v>0</v>
      </c>
      <c r="Q292">
        <v>0</v>
      </c>
      <c r="R292" t="s">
        <v>2730</v>
      </c>
      <c r="S292" t="s">
        <v>2732</v>
      </c>
      <c r="T292" t="s">
        <v>2806</v>
      </c>
      <c r="U292" t="s">
        <v>3125</v>
      </c>
      <c r="W292" t="s">
        <v>2524</v>
      </c>
      <c r="X292" t="s">
        <v>3594</v>
      </c>
    </row>
    <row r="293" spans="1:24">
      <c r="A293">
        <f>HYPERLINK("https://www.philgeps.gov.ph/GEPSNONPILOT/Tender/SplashBidNoticeAbstractUI.aspx?menuIndex=3&amp;refID=7064560&amp;Result=3","7064560")</f>
        <v>0</v>
      </c>
      <c r="B293" t="s">
        <v>131</v>
      </c>
      <c r="C293" t="s">
        <v>614</v>
      </c>
      <c r="D293" t="s">
        <v>999</v>
      </c>
      <c r="E293" t="s">
        <v>1347</v>
      </c>
      <c r="F293" t="s">
        <v>1712</v>
      </c>
      <c r="G293" t="s">
        <v>1721</v>
      </c>
      <c r="H293" t="s">
        <v>1722</v>
      </c>
      <c r="I293" t="s">
        <v>1742</v>
      </c>
      <c r="J293" t="s">
        <v>2059</v>
      </c>
      <c r="K293" t="s">
        <v>2367</v>
      </c>
      <c r="M293" t="s">
        <v>2522</v>
      </c>
      <c r="N293" t="s">
        <v>2727</v>
      </c>
      <c r="O293" t="s">
        <v>2728</v>
      </c>
      <c r="P293">
        <v>0</v>
      </c>
      <c r="Q293">
        <v>0</v>
      </c>
      <c r="R293" t="s">
        <v>2730</v>
      </c>
      <c r="S293" t="s">
        <v>2732</v>
      </c>
      <c r="T293" t="s">
        <v>2781</v>
      </c>
      <c r="U293" t="s">
        <v>3126</v>
      </c>
      <c r="W293" t="s">
        <v>2522</v>
      </c>
      <c r="X293" t="s">
        <v>2729</v>
      </c>
    </row>
    <row r="294" spans="1:24">
      <c r="A294">
        <f>HYPERLINK("https://www.philgeps.gov.ph/GEPSNONPILOT/Tender/SplashBidNoticeAbstractUI.aspx?menuIndex=3&amp;refID=7064557&amp;Result=3","7064557")</f>
        <v>0</v>
      </c>
      <c r="B294" t="s">
        <v>131</v>
      </c>
      <c r="C294" t="s">
        <v>615</v>
      </c>
      <c r="D294" t="s">
        <v>999</v>
      </c>
      <c r="E294" t="s">
        <v>615</v>
      </c>
      <c r="F294" t="s">
        <v>1712</v>
      </c>
      <c r="G294" t="s">
        <v>1721</v>
      </c>
      <c r="H294" t="s">
        <v>1722</v>
      </c>
      <c r="I294" t="s">
        <v>1748</v>
      </c>
      <c r="J294" t="s">
        <v>1874</v>
      </c>
      <c r="K294" t="s">
        <v>2367</v>
      </c>
      <c r="M294" t="s">
        <v>2522</v>
      </c>
      <c r="N294" t="s">
        <v>2727</v>
      </c>
      <c r="O294" t="s">
        <v>2728</v>
      </c>
      <c r="P294">
        <v>0</v>
      </c>
      <c r="Q294">
        <v>0</v>
      </c>
      <c r="R294" t="s">
        <v>2730</v>
      </c>
      <c r="S294" t="s">
        <v>2732</v>
      </c>
      <c r="T294" t="s">
        <v>2781</v>
      </c>
      <c r="U294" t="s">
        <v>3127</v>
      </c>
      <c r="W294" t="s">
        <v>2522</v>
      </c>
      <c r="X294" t="s">
        <v>2729</v>
      </c>
    </row>
    <row r="295" spans="1:24">
      <c r="A295">
        <f>HYPERLINK("https://www.philgeps.gov.ph/GEPSNONPILOT/Tender/SplashBidNoticeAbstractUI.aspx?menuIndex=3&amp;refID=7064525&amp;Result=3","7064525")</f>
        <v>0</v>
      </c>
      <c r="B295" t="s">
        <v>133</v>
      </c>
      <c r="C295" t="s">
        <v>616</v>
      </c>
      <c r="D295" t="s">
        <v>1042</v>
      </c>
      <c r="E295" t="s">
        <v>1348</v>
      </c>
      <c r="F295" t="s">
        <v>1712</v>
      </c>
      <c r="G295" t="s">
        <v>1716</v>
      </c>
      <c r="H295" t="s">
        <v>1723</v>
      </c>
      <c r="I295" t="s">
        <v>1729</v>
      </c>
      <c r="J295" t="s">
        <v>2060</v>
      </c>
      <c r="K295" t="s">
        <v>2398</v>
      </c>
      <c r="M295" t="s">
        <v>2524</v>
      </c>
      <c r="N295" t="s">
        <v>2727</v>
      </c>
      <c r="O295" t="s">
        <v>2728</v>
      </c>
      <c r="P295">
        <v>0</v>
      </c>
      <c r="Q295">
        <v>0</v>
      </c>
      <c r="R295" t="s">
        <v>2730</v>
      </c>
      <c r="S295" t="s">
        <v>2732</v>
      </c>
      <c r="T295" t="s">
        <v>2806</v>
      </c>
      <c r="U295" t="s">
        <v>3128</v>
      </c>
      <c r="W295" t="s">
        <v>2524</v>
      </c>
      <c r="X295" t="s">
        <v>3594</v>
      </c>
    </row>
    <row r="296" spans="1:24">
      <c r="A296">
        <f>HYPERLINK("https://www.philgeps.gov.ph/GEPSNONPILOT/Tender/SplashBidNoticeAbstractUI.aspx?menuIndex=3&amp;refID=7064556&amp;Result=3","7064556")</f>
        <v>0</v>
      </c>
      <c r="B296" t="s">
        <v>134</v>
      </c>
      <c r="C296" t="s">
        <v>617</v>
      </c>
      <c r="E296" t="s">
        <v>1349</v>
      </c>
      <c r="F296" t="s">
        <v>1712</v>
      </c>
      <c r="G296" t="s">
        <v>1718</v>
      </c>
      <c r="H296" t="s">
        <v>1725</v>
      </c>
      <c r="I296" t="s">
        <v>1749</v>
      </c>
      <c r="J296" t="s">
        <v>1818</v>
      </c>
      <c r="K296" t="s">
        <v>2372</v>
      </c>
      <c r="M296" t="s">
        <v>2525</v>
      </c>
      <c r="N296" t="s">
        <v>2727</v>
      </c>
      <c r="O296" t="s">
        <v>2728</v>
      </c>
      <c r="P296">
        <v>0</v>
      </c>
      <c r="Q296">
        <v>0</v>
      </c>
      <c r="R296" t="s">
        <v>2730</v>
      </c>
      <c r="S296" t="s">
        <v>2732</v>
      </c>
      <c r="T296" t="s">
        <v>2778</v>
      </c>
      <c r="U296" t="s">
        <v>3129</v>
      </c>
      <c r="W296" t="s">
        <v>2525</v>
      </c>
      <c r="X296" t="s">
        <v>2729</v>
      </c>
    </row>
    <row r="297" spans="1:24">
      <c r="A297">
        <f>HYPERLINK("https://www.philgeps.gov.ph/GEPSNONPILOT/Tender/SplashBidNoticeAbstractUI.aspx?menuIndex=3&amp;refID=7064558&amp;Result=3","7064558")</f>
        <v>0</v>
      </c>
      <c r="B297" t="s">
        <v>131</v>
      </c>
      <c r="C297" t="s">
        <v>618</v>
      </c>
      <c r="D297" t="s">
        <v>999</v>
      </c>
      <c r="E297" t="s">
        <v>1350</v>
      </c>
      <c r="F297" t="s">
        <v>1712</v>
      </c>
      <c r="G297" t="s">
        <v>1721</v>
      </c>
      <c r="H297" t="s">
        <v>1722</v>
      </c>
      <c r="I297" t="s">
        <v>1742</v>
      </c>
      <c r="J297" t="s">
        <v>2061</v>
      </c>
      <c r="K297" t="s">
        <v>2367</v>
      </c>
      <c r="M297" t="s">
        <v>2522</v>
      </c>
      <c r="N297" t="s">
        <v>2727</v>
      </c>
      <c r="O297" t="s">
        <v>2728</v>
      </c>
      <c r="P297">
        <v>0</v>
      </c>
      <c r="Q297">
        <v>0</v>
      </c>
      <c r="R297" t="s">
        <v>2730</v>
      </c>
      <c r="S297" t="s">
        <v>2732</v>
      </c>
      <c r="T297" t="s">
        <v>2781</v>
      </c>
      <c r="U297" t="s">
        <v>3130</v>
      </c>
      <c r="W297" t="s">
        <v>2522</v>
      </c>
      <c r="X297" t="s">
        <v>2729</v>
      </c>
    </row>
    <row r="298" spans="1:24">
      <c r="A298">
        <f>HYPERLINK("https://www.philgeps.gov.ph/GEPSNONPILOT/Tender/SplashBidNoticeAbstractUI.aspx?menuIndex=3&amp;refID=7064518&amp;Result=3","7064518")</f>
        <v>0</v>
      </c>
      <c r="B298" t="s">
        <v>133</v>
      </c>
      <c r="C298" t="s">
        <v>619</v>
      </c>
      <c r="D298" t="s">
        <v>1042</v>
      </c>
      <c r="E298" t="s">
        <v>1351</v>
      </c>
      <c r="F298" t="s">
        <v>1712</v>
      </c>
      <c r="G298" t="s">
        <v>1716</v>
      </c>
      <c r="H298" t="s">
        <v>1723</v>
      </c>
      <c r="I298" t="s">
        <v>1729</v>
      </c>
      <c r="J298" t="s">
        <v>2062</v>
      </c>
      <c r="K298" t="s">
        <v>2399</v>
      </c>
      <c r="M298" t="s">
        <v>2524</v>
      </c>
      <c r="N298" t="s">
        <v>2727</v>
      </c>
      <c r="O298" t="s">
        <v>2728</v>
      </c>
      <c r="P298">
        <v>0</v>
      </c>
      <c r="Q298">
        <v>0</v>
      </c>
      <c r="R298" t="s">
        <v>2730</v>
      </c>
      <c r="S298" t="s">
        <v>2732</v>
      </c>
      <c r="T298" t="s">
        <v>2806</v>
      </c>
      <c r="U298" t="s">
        <v>3131</v>
      </c>
      <c r="W298" t="s">
        <v>2524</v>
      </c>
      <c r="X298" t="s">
        <v>3594</v>
      </c>
    </row>
    <row r="299" spans="1:24">
      <c r="A299">
        <f>HYPERLINK("https://www.philgeps.gov.ph/GEPSNONPILOT/Tender/SplashBidNoticeAbstractUI.aspx?menuIndex=3&amp;refID=7064555&amp;Result=3","7064555")</f>
        <v>0</v>
      </c>
      <c r="B299" t="s">
        <v>131</v>
      </c>
      <c r="C299" t="s">
        <v>620</v>
      </c>
      <c r="D299" t="s">
        <v>999</v>
      </c>
      <c r="E299" t="s">
        <v>1352</v>
      </c>
      <c r="F299" t="s">
        <v>1712</v>
      </c>
      <c r="G299" t="s">
        <v>1717</v>
      </c>
      <c r="H299" t="s">
        <v>1722</v>
      </c>
      <c r="I299" t="s">
        <v>1777</v>
      </c>
      <c r="J299" t="s">
        <v>2063</v>
      </c>
      <c r="K299" t="s">
        <v>2367</v>
      </c>
      <c r="M299" t="s">
        <v>2522</v>
      </c>
      <c r="N299" t="s">
        <v>2727</v>
      </c>
      <c r="O299" t="s">
        <v>2728</v>
      </c>
      <c r="P299">
        <v>0</v>
      </c>
      <c r="Q299">
        <v>0</v>
      </c>
      <c r="R299" t="s">
        <v>2730</v>
      </c>
      <c r="S299" t="s">
        <v>2732</v>
      </c>
      <c r="T299" t="s">
        <v>2781</v>
      </c>
      <c r="U299" t="s">
        <v>3132</v>
      </c>
      <c r="W299" t="s">
        <v>2522</v>
      </c>
      <c r="X299" t="s">
        <v>2729</v>
      </c>
    </row>
    <row r="300" spans="1:24">
      <c r="A300">
        <f>HYPERLINK("https://www.philgeps.gov.ph/GEPSNONPILOT/Tender/SplashBidNoticeAbstractUI.aspx?menuIndex=3&amp;refID=7064552&amp;Result=3","7064552")</f>
        <v>0</v>
      </c>
      <c r="B300" t="s">
        <v>135</v>
      </c>
      <c r="C300" t="s">
        <v>621</v>
      </c>
      <c r="D300" t="s">
        <v>1043</v>
      </c>
      <c r="E300" t="s">
        <v>1353</v>
      </c>
      <c r="F300" t="s">
        <v>1712</v>
      </c>
      <c r="G300" t="s">
        <v>1716</v>
      </c>
      <c r="H300" t="s">
        <v>1723</v>
      </c>
      <c r="I300" t="s">
        <v>1729</v>
      </c>
      <c r="J300" t="s">
        <v>2064</v>
      </c>
      <c r="K300" t="s">
        <v>2374</v>
      </c>
      <c r="M300" t="s">
        <v>2526</v>
      </c>
      <c r="N300" t="s">
        <v>2727</v>
      </c>
      <c r="O300" t="s">
        <v>2728</v>
      </c>
      <c r="P300">
        <v>0</v>
      </c>
      <c r="Q300">
        <v>0</v>
      </c>
      <c r="R300" t="s">
        <v>2730</v>
      </c>
      <c r="S300" t="s">
        <v>2732</v>
      </c>
      <c r="T300" t="s">
        <v>2782</v>
      </c>
      <c r="U300" t="s">
        <v>3133</v>
      </c>
      <c r="W300" t="s">
        <v>2526</v>
      </c>
      <c r="X300" t="s">
        <v>2729</v>
      </c>
    </row>
    <row r="301" spans="1:24">
      <c r="A301">
        <f>HYPERLINK("https://www.philgeps.gov.ph/GEPSNONPILOT/Tender/SplashBidNoticeAbstractUI.aspx?menuIndex=3&amp;refID=7064554&amp;Result=3","7064554")</f>
        <v>0</v>
      </c>
      <c r="B301" t="s">
        <v>131</v>
      </c>
      <c r="C301" t="s">
        <v>622</v>
      </c>
      <c r="D301" t="s">
        <v>999</v>
      </c>
      <c r="E301" t="s">
        <v>1354</v>
      </c>
      <c r="F301" t="s">
        <v>1712</v>
      </c>
      <c r="G301" t="s">
        <v>1717</v>
      </c>
      <c r="H301" t="s">
        <v>1722</v>
      </c>
      <c r="I301" t="s">
        <v>1730</v>
      </c>
      <c r="J301" t="s">
        <v>2065</v>
      </c>
      <c r="K301" t="s">
        <v>2367</v>
      </c>
      <c r="M301" t="s">
        <v>2522</v>
      </c>
      <c r="N301" t="s">
        <v>2727</v>
      </c>
      <c r="O301" t="s">
        <v>2728</v>
      </c>
      <c r="P301">
        <v>0</v>
      </c>
      <c r="Q301">
        <v>0</v>
      </c>
      <c r="R301" t="s">
        <v>2730</v>
      </c>
      <c r="S301" t="s">
        <v>2732</v>
      </c>
      <c r="T301" t="s">
        <v>2781</v>
      </c>
      <c r="U301" t="s">
        <v>3134</v>
      </c>
      <c r="W301" t="s">
        <v>2522</v>
      </c>
      <c r="X301" t="s">
        <v>2729</v>
      </c>
    </row>
    <row r="302" spans="1:24">
      <c r="A302">
        <f>HYPERLINK("https://www.philgeps.gov.ph/GEPSNONPILOT/Tender/SplashBidNoticeAbstractUI.aspx?menuIndex=3&amp;refID=7064561&amp;Result=3","7064561")</f>
        <v>0</v>
      </c>
      <c r="B302" t="s">
        <v>131</v>
      </c>
      <c r="C302" t="s">
        <v>623</v>
      </c>
      <c r="D302" t="s">
        <v>999</v>
      </c>
      <c r="E302" t="s">
        <v>1355</v>
      </c>
      <c r="F302" t="s">
        <v>1712</v>
      </c>
      <c r="G302" t="s">
        <v>1721</v>
      </c>
      <c r="H302" t="s">
        <v>1722</v>
      </c>
      <c r="I302" t="s">
        <v>1742</v>
      </c>
      <c r="J302" t="s">
        <v>2066</v>
      </c>
      <c r="K302" t="s">
        <v>2367</v>
      </c>
      <c r="M302" t="s">
        <v>2522</v>
      </c>
      <c r="N302" t="s">
        <v>2727</v>
      </c>
      <c r="O302" t="s">
        <v>2728</v>
      </c>
      <c r="P302">
        <v>0</v>
      </c>
      <c r="Q302">
        <v>0</v>
      </c>
      <c r="R302" t="s">
        <v>2730</v>
      </c>
      <c r="S302" t="s">
        <v>2732</v>
      </c>
      <c r="T302" t="s">
        <v>2781</v>
      </c>
      <c r="U302" t="s">
        <v>3135</v>
      </c>
      <c r="W302" t="s">
        <v>2522</v>
      </c>
      <c r="X302" t="s">
        <v>2729</v>
      </c>
    </row>
    <row r="303" spans="1:24">
      <c r="A303">
        <f>HYPERLINK("https://www.philgeps.gov.ph/GEPSNONPILOT/Tender/SplashBidNoticeAbstractUI.aspx?menuIndex=3&amp;refID=7064562&amp;Result=3","7064562")</f>
        <v>0</v>
      </c>
      <c r="B303" t="s">
        <v>131</v>
      </c>
      <c r="C303" t="s">
        <v>624</v>
      </c>
      <c r="D303" t="s">
        <v>999</v>
      </c>
      <c r="E303" t="s">
        <v>1356</v>
      </c>
      <c r="F303" t="s">
        <v>1712</v>
      </c>
      <c r="G303" t="s">
        <v>1721</v>
      </c>
      <c r="H303" t="s">
        <v>1722</v>
      </c>
      <c r="I303" t="s">
        <v>1742</v>
      </c>
      <c r="J303" t="s">
        <v>2067</v>
      </c>
      <c r="K303" t="s">
        <v>2367</v>
      </c>
      <c r="M303" t="s">
        <v>2522</v>
      </c>
      <c r="N303" t="s">
        <v>2727</v>
      </c>
      <c r="O303" t="s">
        <v>2728</v>
      </c>
      <c r="P303">
        <v>0</v>
      </c>
      <c r="Q303">
        <v>0</v>
      </c>
      <c r="R303" t="s">
        <v>2730</v>
      </c>
      <c r="S303" t="s">
        <v>2732</v>
      </c>
      <c r="T303" t="s">
        <v>2781</v>
      </c>
      <c r="U303" t="s">
        <v>3136</v>
      </c>
      <c r="W303" t="s">
        <v>2522</v>
      </c>
      <c r="X303" t="s">
        <v>2729</v>
      </c>
    </row>
    <row r="304" spans="1:24">
      <c r="A304">
        <f>HYPERLINK("https://www.philgeps.gov.ph/GEPSNONPILOT/Tender/SplashBidNoticeAbstractUI.aspx?menuIndex=3&amp;refID=7064585&amp;Result=3","7064585")</f>
        <v>0</v>
      </c>
      <c r="B304" t="s">
        <v>136</v>
      </c>
      <c r="C304" t="s">
        <v>625</v>
      </c>
      <c r="D304" t="s">
        <v>1005</v>
      </c>
      <c r="E304" t="s">
        <v>1357</v>
      </c>
      <c r="F304" t="s">
        <v>1712</v>
      </c>
      <c r="G304" t="s">
        <v>1716</v>
      </c>
      <c r="H304" t="s">
        <v>1722</v>
      </c>
      <c r="I304" t="s">
        <v>1727</v>
      </c>
      <c r="J304" t="s">
        <v>2068</v>
      </c>
      <c r="K304" t="s">
        <v>2367</v>
      </c>
      <c r="M304" t="s">
        <v>2527</v>
      </c>
      <c r="N304" t="s">
        <v>2727</v>
      </c>
      <c r="O304" t="s">
        <v>2728</v>
      </c>
      <c r="P304">
        <v>0</v>
      </c>
      <c r="Q304">
        <v>0</v>
      </c>
      <c r="R304" t="s">
        <v>2730</v>
      </c>
      <c r="S304" t="s">
        <v>2732</v>
      </c>
      <c r="T304" t="s">
        <v>2802</v>
      </c>
      <c r="U304" t="s">
        <v>3137</v>
      </c>
      <c r="W304" t="s">
        <v>2527</v>
      </c>
      <c r="X304" t="s">
        <v>2729</v>
      </c>
    </row>
    <row r="305" spans="1:24">
      <c r="A305">
        <f>HYPERLINK("https://www.philgeps.gov.ph/GEPSNONPILOT/Tender/SplashBidNoticeAbstractUI.aspx?menuIndex=3&amp;refID=7064567&amp;Result=3","7064567")</f>
        <v>0</v>
      </c>
      <c r="B305" t="s">
        <v>131</v>
      </c>
      <c r="C305" t="s">
        <v>626</v>
      </c>
      <c r="D305" t="s">
        <v>999</v>
      </c>
      <c r="E305" t="s">
        <v>1358</v>
      </c>
      <c r="F305" t="s">
        <v>1712</v>
      </c>
      <c r="G305" t="s">
        <v>1721</v>
      </c>
      <c r="H305" t="s">
        <v>1722</v>
      </c>
      <c r="I305" t="s">
        <v>1742</v>
      </c>
      <c r="J305" t="s">
        <v>2069</v>
      </c>
      <c r="K305" t="s">
        <v>2367</v>
      </c>
      <c r="M305" t="s">
        <v>2522</v>
      </c>
      <c r="N305" t="s">
        <v>2727</v>
      </c>
      <c r="O305" t="s">
        <v>2728</v>
      </c>
      <c r="P305">
        <v>0</v>
      </c>
      <c r="Q305">
        <v>0</v>
      </c>
      <c r="R305" t="s">
        <v>2730</v>
      </c>
      <c r="S305" t="s">
        <v>2732</v>
      </c>
      <c r="T305" t="s">
        <v>2781</v>
      </c>
      <c r="U305" t="s">
        <v>3138</v>
      </c>
      <c r="W305" t="s">
        <v>2522</v>
      </c>
      <c r="X305" t="s">
        <v>2729</v>
      </c>
    </row>
    <row r="306" spans="1:24">
      <c r="A306">
        <f>HYPERLINK("https://www.philgeps.gov.ph/GEPSNONPILOT/Tender/SplashBidNoticeAbstractUI.aspx?menuIndex=3&amp;refID=7064564&amp;Result=3","7064564")</f>
        <v>0</v>
      </c>
      <c r="B306" t="s">
        <v>131</v>
      </c>
      <c r="C306" t="s">
        <v>627</v>
      </c>
      <c r="D306" t="s">
        <v>999</v>
      </c>
      <c r="E306" t="s">
        <v>1359</v>
      </c>
      <c r="F306" t="s">
        <v>1712</v>
      </c>
      <c r="G306" t="s">
        <v>1721</v>
      </c>
      <c r="H306" t="s">
        <v>1722</v>
      </c>
      <c r="I306" t="s">
        <v>1742</v>
      </c>
      <c r="J306" t="s">
        <v>2070</v>
      </c>
      <c r="K306" t="s">
        <v>2367</v>
      </c>
      <c r="M306" t="s">
        <v>2522</v>
      </c>
      <c r="N306" t="s">
        <v>2727</v>
      </c>
      <c r="O306" t="s">
        <v>2728</v>
      </c>
      <c r="P306">
        <v>0</v>
      </c>
      <c r="Q306">
        <v>0</v>
      </c>
      <c r="R306" t="s">
        <v>2730</v>
      </c>
      <c r="S306" t="s">
        <v>2732</v>
      </c>
      <c r="T306" t="s">
        <v>2781</v>
      </c>
      <c r="U306" t="s">
        <v>3139</v>
      </c>
      <c r="W306" t="s">
        <v>2522</v>
      </c>
      <c r="X306" t="s">
        <v>2729</v>
      </c>
    </row>
    <row r="307" spans="1:24">
      <c r="A307">
        <f>HYPERLINK("https://www.philgeps.gov.ph/GEPSNONPILOT/Tender/SplashBidNoticeAbstractUI.aspx?menuIndex=3&amp;refID=7064579&amp;Result=3","7064579")</f>
        <v>0</v>
      </c>
      <c r="B307" t="s">
        <v>131</v>
      </c>
      <c r="C307" t="s">
        <v>628</v>
      </c>
      <c r="D307" t="s">
        <v>999</v>
      </c>
      <c r="E307" t="s">
        <v>628</v>
      </c>
      <c r="F307" t="s">
        <v>1712</v>
      </c>
      <c r="G307" t="s">
        <v>1721</v>
      </c>
      <c r="H307" t="s">
        <v>1722</v>
      </c>
      <c r="I307" t="s">
        <v>1761</v>
      </c>
      <c r="J307" t="s">
        <v>2071</v>
      </c>
      <c r="K307" t="s">
        <v>2367</v>
      </c>
      <c r="M307" t="s">
        <v>2522</v>
      </c>
      <c r="N307" t="s">
        <v>2727</v>
      </c>
      <c r="O307" t="s">
        <v>2728</v>
      </c>
      <c r="P307">
        <v>0</v>
      </c>
      <c r="Q307">
        <v>0</v>
      </c>
      <c r="R307" t="s">
        <v>2730</v>
      </c>
      <c r="S307" t="s">
        <v>2732</v>
      </c>
      <c r="T307" t="s">
        <v>2781</v>
      </c>
      <c r="U307" t="s">
        <v>3140</v>
      </c>
      <c r="W307" t="s">
        <v>2522</v>
      </c>
      <c r="X307" t="s">
        <v>2729</v>
      </c>
    </row>
    <row r="308" spans="1:24">
      <c r="A308">
        <f>HYPERLINK("https://www.philgeps.gov.ph/GEPSNONPILOT/Tender/SplashBidNoticeAbstractUI.aspx?menuIndex=3&amp;refID=7064583&amp;Result=3","7064583")</f>
        <v>0</v>
      </c>
      <c r="B308" t="s">
        <v>137</v>
      </c>
      <c r="C308" t="s">
        <v>629</v>
      </c>
      <c r="D308" t="s">
        <v>1037</v>
      </c>
      <c r="E308" t="s">
        <v>1330</v>
      </c>
      <c r="F308" t="s">
        <v>1712</v>
      </c>
      <c r="G308" t="s">
        <v>1718</v>
      </c>
      <c r="H308" t="s">
        <v>1722</v>
      </c>
      <c r="I308" t="s">
        <v>1773</v>
      </c>
      <c r="J308" t="s">
        <v>2072</v>
      </c>
      <c r="K308" t="s">
        <v>2371</v>
      </c>
      <c r="L308" t="s">
        <v>137</v>
      </c>
      <c r="M308" t="s">
        <v>2528</v>
      </c>
      <c r="N308" t="s">
        <v>2727</v>
      </c>
      <c r="O308" t="s">
        <v>2728</v>
      </c>
      <c r="P308">
        <v>0</v>
      </c>
      <c r="Q308">
        <v>0</v>
      </c>
      <c r="R308" t="s">
        <v>2730</v>
      </c>
      <c r="S308" t="s">
        <v>2732</v>
      </c>
      <c r="T308" t="s">
        <v>2807</v>
      </c>
      <c r="U308" t="s">
        <v>3141</v>
      </c>
      <c r="W308" t="s">
        <v>2528</v>
      </c>
      <c r="X308" t="s">
        <v>2729</v>
      </c>
    </row>
    <row r="309" spans="1:24">
      <c r="A309">
        <f>HYPERLINK("https://www.philgeps.gov.ph/GEPSNONPILOT/Tender/SplashBidNoticeAbstractUI.aspx?menuIndex=3&amp;refID=7064577&amp;Result=3","7064577")</f>
        <v>0</v>
      </c>
      <c r="B309" t="s">
        <v>131</v>
      </c>
      <c r="C309" t="s">
        <v>630</v>
      </c>
      <c r="D309" t="s">
        <v>999</v>
      </c>
      <c r="E309" t="s">
        <v>1360</v>
      </c>
      <c r="F309" t="s">
        <v>1712</v>
      </c>
      <c r="G309" t="s">
        <v>1721</v>
      </c>
      <c r="H309" t="s">
        <v>1722</v>
      </c>
      <c r="I309" t="s">
        <v>1726</v>
      </c>
      <c r="J309" t="s">
        <v>2073</v>
      </c>
      <c r="K309" t="s">
        <v>2367</v>
      </c>
      <c r="M309" t="s">
        <v>2522</v>
      </c>
      <c r="N309" t="s">
        <v>2727</v>
      </c>
      <c r="O309" t="s">
        <v>2728</v>
      </c>
      <c r="P309">
        <v>0</v>
      </c>
      <c r="Q309">
        <v>0</v>
      </c>
      <c r="R309" t="s">
        <v>2730</v>
      </c>
      <c r="S309" t="s">
        <v>2732</v>
      </c>
      <c r="T309" t="s">
        <v>2781</v>
      </c>
      <c r="U309" t="s">
        <v>3142</v>
      </c>
      <c r="W309" t="s">
        <v>2522</v>
      </c>
      <c r="X309" t="s">
        <v>2729</v>
      </c>
    </row>
    <row r="310" spans="1:24">
      <c r="A310">
        <f>HYPERLINK("https://www.philgeps.gov.ph/GEPSNONPILOT/Tender/SplashBidNoticeAbstractUI.aspx?menuIndex=3&amp;refID=7064566&amp;Result=3","7064566")</f>
        <v>0</v>
      </c>
      <c r="B310" t="s">
        <v>138</v>
      </c>
      <c r="C310" t="s">
        <v>631</v>
      </c>
      <c r="D310" t="s">
        <v>1044</v>
      </c>
      <c r="E310" t="s">
        <v>1361</v>
      </c>
      <c r="F310" t="s">
        <v>1712</v>
      </c>
      <c r="G310" t="s">
        <v>1716</v>
      </c>
      <c r="H310" t="s">
        <v>1722</v>
      </c>
      <c r="I310" t="s">
        <v>1729</v>
      </c>
      <c r="J310" t="s">
        <v>2074</v>
      </c>
      <c r="K310" t="s">
        <v>2374</v>
      </c>
      <c r="M310" t="s">
        <v>2529</v>
      </c>
      <c r="N310" t="s">
        <v>2727</v>
      </c>
      <c r="O310" t="s">
        <v>2728</v>
      </c>
      <c r="P310">
        <v>0</v>
      </c>
      <c r="Q310">
        <v>0</v>
      </c>
      <c r="R310" t="s">
        <v>2730</v>
      </c>
      <c r="S310" t="s">
        <v>2732</v>
      </c>
      <c r="T310" t="s">
        <v>2767</v>
      </c>
      <c r="U310" t="s">
        <v>3143</v>
      </c>
      <c r="W310" t="s">
        <v>2529</v>
      </c>
      <c r="X310" t="s">
        <v>2729</v>
      </c>
    </row>
    <row r="311" spans="1:24">
      <c r="A311">
        <f>HYPERLINK("https://www.philgeps.gov.ph/GEPSNONPILOT/Tender/SplashBidNoticeAbstractUI.aspx?menuIndex=3&amp;refID=7064582&amp;Result=3","7064582")</f>
        <v>0</v>
      </c>
      <c r="B311" t="s">
        <v>139</v>
      </c>
      <c r="C311" t="s">
        <v>632</v>
      </c>
      <c r="D311" t="s">
        <v>1044</v>
      </c>
      <c r="E311" t="s">
        <v>1362</v>
      </c>
      <c r="F311" t="s">
        <v>1714</v>
      </c>
      <c r="G311" t="s">
        <v>1716</v>
      </c>
      <c r="H311" t="s">
        <v>1722</v>
      </c>
      <c r="I311" t="s">
        <v>1727</v>
      </c>
      <c r="J311" t="s">
        <v>2075</v>
      </c>
      <c r="K311" t="s">
        <v>2371</v>
      </c>
      <c r="M311" t="s">
        <v>2530</v>
      </c>
      <c r="N311" t="s">
        <v>2727</v>
      </c>
      <c r="O311" t="s">
        <v>2728</v>
      </c>
      <c r="P311">
        <v>0</v>
      </c>
      <c r="Q311">
        <v>0</v>
      </c>
      <c r="R311" t="s">
        <v>2730</v>
      </c>
      <c r="S311" t="s">
        <v>2732</v>
      </c>
      <c r="T311" t="s">
        <v>2808</v>
      </c>
      <c r="U311" t="s">
        <v>3144</v>
      </c>
      <c r="W311" t="s">
        <v>2530</v>
      </c>
      <c r="X311" t="s">
        <v>2729</v>
      </c>
    </row>
    <row r="312" spans="1:24">
      <c r="A312">
        <f>HYPERLINK("https://www.philgeps.gov.ph/GEPSNONPILOT/Tender/SplashBidNoticeAbstractUI.aspx?menuIndex=3&amp;refID=7064575&amp;Result=3","7064575")</f>
        <v>0</v>
      </c>
      <c r="B312" t="s">
        <v>131</v>
      </c>
      <c r="C312" t="s">
        <v>633</v>
      </c>
      <c r="D312" t="s">
        <v>999</v>
      </c>
      <c r="E312" t="s">
        <v>1363</v>
      </c>
      <c r="F312" t="s">
        <v>1712</v>
      </c>
      <c r="G312" t="s">
        <v>1721</v>
      </c>
      <c r="H312" t="s">
        <v>1722</v>
      </c>
      <c r="I312" t="s">
        <v>1726</v>
      </c>
      <c r="J312" t="s">
        <v>2076</v>
      </c>
      <c r="K312" t="s">
        <v>2367</v>
      </c>
      <c r="M312" t="s">
        <v>2522</v>
      </c>
      <c r="N312" t="s">
        <v>2727</v>
      </c>
      <c r="O312" t="s">
        <v>2728</v>
      </c>
      <c r="P312">
        <v>0</v>
      </c>
      <c r="Q312">
        <v>0</v>
      </c>
      <c r="R312" t="s">
        <v>2730</v>
      </c>
      <c r="S312" t="s">
        <v>2732</v>
      </c>
      <c r="T312" t="s">
        <v>2781</v>
      </c>
      <c r="U312" t="s">
        <v>3145</v>
      </c>
      <c r="W312" t="s">
        <v>2522</v>
      </c>
      <c r="X312" t="s">
        <v>2729</v>
      </c>
    </row>
    <row r="313" spans="1:24">
      <c r="A313">
        <f>HYPERLINK("https://www.philgeps.gov.ph/GEPSNONPILOT/Tender/SplashBidNoticeAbstractUI.aspx?menuIndex=3&amp;refID=7064563&amp;Result=3","7064563")</f>
        <v>0</v>
      </c>
      <c r="B313" t="s">
        <v>131</v>
      </c>
      <c r="C313" t="s">
        <v>634</v>
      </c>
      <c r="D313" t="s">
        <v>999</v>
      </c>
      <c r="E313" t="s">
        <v>1364</v>
      </c>
      <c r="F313" t="s">
        <v>1712</v>
      </c>
      <c r="G313" t="s">
        <v>1721</v>
      </c>
      <c r="H313" t="s">
        <v>1722</v>
      </c>
      <c r="I313" t="s">
        <v>1742</v>
      </c>
      <c r="J313" t="s">
        <v>2077</v>
      </c>
      <c r="K313" t="s">
        <v>2367</v>
      </c>
      <c r="M313" t="s">
        <v>2522</v>
      </c>
      <c r="N313" t="s">
        <v>2727</v>
      </c>
      <c r="O313" t="s">
        <v>2728</v>
      </c>
      <c r="P313">
        <v>0</v>
      </c>
      <c r="Q313">
        <v>0</v>
      </c>
      <c r="R313" t="s">
        <v>2730</v>
      </c>
      <c r="S313" t="s">
        <v>2732</v>
      </c>
      <c r="T313" t="s">
        <v>2781</v>
      </c>
      <c r="U313" t="s">
        <v>3146</v>
      </c>
      <c r="W313" t="s">
        <v>2522</v>
      </c>
      <c r="X313" t="s">
        <v>2729</v>
      </c>
    </row>
    <row r="314" spans="1:24">
      <c r="A314">
        <f>HYPERLINK("https://www.philgeps.gov.ph/GEPSNONPILOT/Tender/SplashBidNoticeAbstractUI.aspx?menuIndex=3&amp;refID=7064573&amp;Result=3","7064573")</f>
        <v>0</v>
      </c>
      <c r="B314" t="s">
        <v>131</v>
      </c>
      <c r="C314" t="s">
        <v>635</v>
      </c>
      <c r="D314" t="s">
        <v>999</v>
      </c>
      <c r="E314" t="s">
        <v>1365</v>
      </c>
      <c r="F314" t="s">
        <v>1712</v>
      </c>
      <c r="G314" t="s">
        <v>1721</v>
      </c>
      <c r="H314" t="s">
        <v>1722</v>
      </c>
      <c r="I314" t="s">
        <v>1726</v>
      </c>
      <c r="J314" t="s">
        <v>2078</v>
      </c>
      <c r="K314" t="s">
        <v>2367</v>
      </c>
      <c r="M314" t="s">
        <v>2522</v>
      </c>
      <c r="N314" t="s">
        <v>2727</v>
      </c>
      <c r="O314" t="s">
        <v>2728</v>
      </c>
      <c r="P314">
        <v>0</v>
      </c>
      <c r="Q314">
        <v>1</v>
      </c>
      <c r="R314" t="s">
        <v>2730</v>
      </c>
      <c r="S314" t="s">
        <v>2732</v>
      </c>
      <c r="T314" t="s">
        <v>2781</v>
      </c>
      <c r="U314" t="s">
        <v>3147</v>
      </c>
      <c r="W314" t="s">
        <v>2522</v>
      </c>
      <c r="X314" t="s">
        <v>2729</v>
      </c>
    </row>
    <row r="315" spans="1:24">
      <c r="A315">
        <f>HYPERLINK("https://www.philgeps.gov.ph/GEPSNONPILOT/Tender/SplashBidNoticeAbstractUI.aspx?menuIndex=3&amp;refID=7064578&amp;Result=3","7064578")</f>
        <v>0</v>
      </c>
      <c r="B315" t="s">
        <v>131</v>
      </c>
      <c r="C315" t="s">
        <v>636</v>
      </c>
      <c r="D315" t="s">
        <v>999</v>
      </c>
      <c r="E315" t="s">
        <v>636</v>
      </c>
      <c r="F315" t="s">
        <v>1712</v>
      </c>
      <c r="G315" t="s">
        <v>1721</v>
      </c>
      <c r="H315" t="s">
        <v>1722</v>
      </c>
      <c r="I315" t="s">
        <v>1750</v>
      </c>
      <c r="J315" t="s">
        <v>2079</v>
      </c>
      <c r="K315" t="s">
        <v>2367</v>
      </c>
      <c r="M315" t="s">
        <v>2522</v>
      </c>
      <c r="N315" t="s">
        <v>2727</v>
      </c>
      <c r="O315" t="s">
        <v>2728</v>
      </c>
      <c r="P315">
        <v>0</v>
      </c>
      <c r="Q315">
        <v>0</v>
      </c>
      <c r="R315" t="s">
        <v>2730</v>
      </c>
      <c r="S315" t="s">
        <v>2732</v>
      </c>
      <c r="T315" t="s">
        <v>2781</v>
      </c>
      <c r="U315" t="s">
        <v>3148</v>
      </c>
      <c r="W315" t="s">
        <v>2522</v>
      </c>
      <c r="X315" t="s">
        <v>2729</v>
      </c>
    </row>
    <row r="316" spans="1:24">
      <c r="A316">
        <f>HYPERLINK("https://www.philgeps.gov.ph/GEPSNONPILOT/Tender/SplashBidNoticeAbstractUI.aspx?menuIndex=3&amp;refID=7064565&amp;Result=3","7064565")</f>
        <v>0</v>
      </c>
      <c r="B316" t="s">
        <v>131</v>
      </c>
      <c r="C316" t="s">
        <v>637</v>
      </c>
      <c r="D316" t="s">
        <v>999</v>
      </c>
      <c r="E316" t="s">
        <v>1366</v>
      </c>
      <c r="F316" t="s">
        <v>1712</v>
      </c>
      <c r="G316" t="s">
        <v>1721</v>
      </c>
      <c r="H316" t="s">
        <v>1722</v>
      </c>
      <c r="I316" t="s">
        <v>1742</v>
      </c>
      <c r="J316" t="s">
        <v>1814</v>
      </c>
      <c r="K316" t="s">
        <v>2367</v>
      </c>
      <c r="M316" t="s">
        <v>2522</v>
      </c>
      <c r="N316" t="s">
        <v>2727</v>
      </c>
      <c r="O316" t="s">
        <v>2728</v>
      </c>
      <c r="P316">
        <v>0</v>
      </c>
      <c r="Q316">
        <v>0</v>
      </c>
      <c r="R316" t="s">
        <v>2730</v>
      </c>
      <c r="S316" t="s">
        <v>2732</v>
      </c>
      <c r="T316" t="s">
        <v>2781</v>
      </c>
      <c r="U316" t="s">
        <v>3149</v>
      </c>
      <c r="W316" t="s">
        <v>2522</v>
      </c>
      <c r="X316" t="s">
        <v>2729</v>
      </c>
    </row>
    <row r="317" spans="1:24">
      <c r="A317">
        <f>HYPERLINK("https://www.philgeps.gov.ph/GEPSNONPILOT/Tender/SplashBidNoticeAbstractUI.aspx?menuIndex=3&amp;refID=7064570&amp;Result=3","7064570")</f>
        <v>0</v>
      </c>
      <c r="B317" t="s">
        <v>131</v>
      </c>
      <c r="C317" t="s">
        <v>638</v>
      </c>
      <c r="D317" t="s">
        <v>999</v>
      </c>
      <c r="E317" t="s">
        <v>1367</v>
      </c>
      <c r="F317" t="s">
        <v>1712</v>
      </c>
      <c r="G317" t="s">
        <v>1721</v>
      </c>
      <c r="H317" t="s">
        <v>1722</v>
      </c>
      <c r="I317" t="s">
        <v>1764</v>
      </c>
      <c r="J317" t="s">
        <v>2080</v>
      </c>
      <c r="K317" t="s">
        <v>2367</v>
      </c>
      <c r="M317" t="s">
        <v>2522</v>
      </c>
      <c r="N317" t="s">
        <v>2727</v>
      </c>
      <c r="O317" t="s">
        <v>2728</v>
      </c>
      <c r="P317">
        <v>0</v>
      </c>
      <c r="Q317">
        <v>0</v>
      </c>
      <c r="R317" t="s">
        <v>2730</v>
      </c>
      <c r="S317" t="s">
        <v>2732</v>
      </c>
      <c r="T317" t="s">
        <v>2781</v>
      </c>
      <c r="U317" t="s">
        <v>3150</v>
      </c>
      <c r="W317" t="s">
        <v>2522</v>
      </c>
      <c r="X317" t="s">
        <v>2729</v>
      </c>
    </row>
    <row r="318" spans="1:24">
      <c r="A318">
        <f>HYPERLINK("https://www.philgeps.gov.ph/GEPSNONPILOT/Tender/SplashBidNoticeAbstractUI.aspx?menuIndex=3&amp;refID=7064572&amp;Result=3","7064572")</f>
        <v>0</v>
      </c>
      <c r="B318" t="s">
        <v>131</v>
      </c>
      <c r="C318" t="s">
        <v>639</v>
      </c>
      <c r="D318" t="s">
        <v>999</v>
      </c>
      <c r="E318" t="s">
        <v>1368</v>
      </c>
      <c r="F318" t="s">
        <v>1712</v>
      </c>
      <c r="G318" t="s">
        <v>1721</v>
      </c>
      <c r="H318" t="s">
        <v>1722</v>
      </c>
      <c r="I318" t="s">
        <v>1779</v>
      </c>
      <c r="J318" t="s">
        <v>1818</v>
      </c>
      <c r="K318" t="s">
        <v>2367</v>
      </c>
      <c r="M318" t="s">
        <v>2522</v>
      </c>
      <c r="N318" t="s">
        <v>2727</v>
      </c>
      <c r="O318" t="s">
        <v>2728</v>
      </c>
      <c r="P318">
        <v>0</v>
      </c>
      <c r="Q318">
        <v>0</v>
      </c>
      <c r="R318" t="s">
        <v>2730</v>
      </c>
      <c r="S318" t="s">
        <v>2732</v>
      </c>
      <c r="T318" t="s">
        <v>2781</v>
      </c>
      <c r="U318" t="s">
        <v>3151</v>
      </c>
      <c r="W318" t="s">
        <v>2522</v>
      </c>
      <c r="X318" t="s">
        <v>2729</v>
      </c>
    </row>
    <row r="319" spans="1:24">
      <c r="A319">
        <f>HYPERLINK("https://www.philgeps.gov.ph/GEPSNONPILOT/Tender/SplashBidNoticeAbstractUI.aspx?menuIndex=3&amp;refID=7064568&amp;Result=3","7064568")</f>
        <v>0</v>
      </c>
      <c r="B319" t="s">
        <v>138</v>
      </c>
      <c r="C319" t="s">
        <v>640</v>
      </c>
      <c r="D319" t="s">
        <v>1044</v>
      </c>
      <c r="E319" t="s">
        <v>1369</v>
      </c>
      <c r="F319" t="s">
        <v>1712</v>
      </c>
      <c r="G319" t="s">
        <v>1716</v>
      </c>
      <c r="H319" t="s">
        <v>1722</v>
      </c>
      <c r="I319" t="s">
        <v>1727</v>
      </c>
      <c r="J319" t="s">
        <v>2081</v>
      </c>
      <c r="K319" t="s">
        <v>2374</v>
      </c>
      <c r="M319" t="s">
        <v>2529</v>
      </c>
      <c r="N319" t="s">
        <v>2727</v>
      </c>
      <c r="O319" t="s">
        <v>2728</v>
      </c>
      <c r="P319">
        <v>0</v>
      </c>
      <c r="Q319">
        <v>0</v>
      </c>
      <c r="R319" t="s">
        <v>2730</v>
      </c>
      <c r="S319" t="s">
        <v>2732</v>
      </c>
      <c r="T319" t="s">
        <v>2767</v>
      </c>
      <c r="U319" t="s">
        <v>3152</v>
      </c>
      <c r="W319" t="s">
        <v>2529</v>
      </c>
      <c r="X319" t="s">
        <v>2729</v>
      </c>
    </row>
    <row r="320" spans="1:24">
      <c r="A320">
        <f>HYPERLINK("https://www.philgeps.gov.ph/GEPSNONPILOT/Tender/SplashBidNoticeAbstractUI.aspx?menuIndex=3&amp;refID=7064571&amp;Result=3","7064571")</f>
        <v>0</v>
      </c>
      <c r="B320" t="s">
        <v>131</v>
      </c>
      <c r="C320" t="s">
        <v>641</v>
      </c>
      <c r="D320" t="s">
        <v>999</v>
      </c>
      <c r="E320" t="s">
        <v>641</v>
      </c>
      <c r="F320" t="s">
        <v>1712</v>
      </c>
      <c r="G320" t="s">
        <v>1721</v>
      </c>
      <c r="H320" t="s">
        <v>1722</v>
      </c>
      <c r="I320" t="s">
        <v>1746</v>
      </c>
      <c r="J320" t="s">
        <v>2082</v>
      </c>
      <c r="K320" t="s">
        <v>2367</v>
      </c>
      <c r="M320" t="s">
        <v>2522</v>
      </c>
      <c r="N320" t="s">
        <v>2727</v>
      </c>
      <c r="O320" t="s">
        <v>2728</v>
      </c>
      <c r="P320">
        <v>0</v>
      </c>
      <c r="Q320">
        <v>0</v>
      </c>
      <c r="R320" t="s">
        <v>2730</v>
      </c>
      <c r="S320" t="s">
        <v>2732</v>
      </c>
      <c r="T320" t="s">
        <v>2781</v>
      </c>
      <c r="U320" t="s">
        <v>3153</v>
      </c>
      <c r="W320" t="s">
        <v>2522</v>
      </c>
      <c r="X320" t="s">
        <v>2729</v>
      </c>
    </row>
    <row r="321" spans="1:24">
      <c r="A321">
        <f>HYPERLINK("https://www.philgeps.gov.ph/GEPSNONPILOT/Tender/SplashBidNoticeAbstractUI.aspx?menuIndex=3&amp;refID=7064591&amp;Result=3","7064591")</f>
        <v>0</v>
      </c>
      <c r="B321" t="s">
        <v>140</v>
      </c>
      <c r="C321" t="s">
        <v>642</v>
      </c>
      <c r="D321" t="s">
        <v>1004</v>
      </c>
      <c r="E321" t="s">
        <v>1370</v>
      </c>
      <c r="F321" t="s">
        <v>1712</v>
      </c>
      <c r="G321" t="s">
        <v>1716</v>
      </c>
      <c r="H321" t="s">
        <v>1722</v>
      </c>
      <c r="I321" t="s">
        <v>1731</v>
      </c>
      <c r="J321" t="s">
        <v>2083</v>
      </c>
      <c r="K321" t="s">
        <v>2371</v>
      </c>
      <c r="M321" t="s">
        <v>2531</v>
      </c>
      <c r="N321" t="s">
        <v>2727</v>
      </c>
      <c r="O321" t="s">
        <v>2728</v>
      </c>
      <c r="P321">
        <v>0</v>
      </c>
      <c r="Q321">
        <v>0</v>
      </c>
      <c r="R321" t="s">
        <v>2730</v>
      </c>
      <c r="S321" t="s">
        <v>2732</v>
      </c>
      <c r="T321" t="s">
        <v>2809</v>
      </c>
      <c r="U321" t="s">
        <v>3154</v>
      </c>
      <c r="W321" t="s">
        <v>2531</v>
      </c>
      <c r="X321" t="s">
        <v>2729</v>
      </c>
    </row>
    <row r="322" spans="1:24">
      <c r="A322">
        <f>HYPERLINK("https://www.philgeps.gov.ph/GEPSNONPILOT/Tender/SplashBidNoticeAbstractUI.aspx?menuIndex=3&amp;refID=7064586&amp;Result=3","7064586")</f>
        <v>0</v>
      </c>
      <c r="B322" t="s">
        <v>141</v>
      </c>
      <c r="C322" t="s">
        <v>643</v>
      </c>
      <c r="D322" t="s">
        <v>1030</v>
      </c>
      <c r="E322" t="s">
        <v>1371</v>
      </c>
      <c r="F322" t="s">
        <v>1712</v>
      </c>
      <c r="G322" t="s">
        <v>1716</v>
      </c>
      <c r="H322" t="s">
        <v>1723</v>
      </c>
      <c r="I322" t="s">
        <v>1729</v>
      </c>
      <c r="J322" t="s">
        <v>2084</v>
      </c>
      <c r="K322" t="s">
        <v>2388</v>
      </c>
      <c r="M322" t="s">
        <v>2532</v>
      </c>
      <c r="N322" t="s">
        <v>2727</v>
      </c>
      <c r="O322" t="s">
        <v>2728</v>
      </c>
      <c r="P322">
        <v>0</v>
      </c>
      <c r="Q322">
        <v>0</v>
      </c>
      <c r="R322" t="s">
        <v>2730</v>
      </c>
      <c r="S322" t="s">
        <v>2732</v>
      </c>
      <c r="T322" t="s">
        <v>2740</v>
      </c>
      <c r="U322" t="s">
        <v>3155</v>
      </c>
      <c r="W322" t="s">
        <v>2532</v>
      </c>
      <c r="X322" t="s">
        <v>2729</v>
      </c>
    </row>
    <row r="323" spans="1:24">
      <c r="A323">
        <f>HYPERLINK("https://www.philgeps.gov.ph/GEPSNONPILOT/Tender/SplashBidNoticeAbstractUI.aspx?menuIndex=3&amp;refID=7064587&amp;Result=3","7064587")</f>
        <v>0</v>
      </c>
      <c r="B323" t="s">
        <v>142</v>
      </c>
      <c r="C323" t="s">
        <v>644</v>
      </c>
      <c r="D323" t="s">
        <v>1014</v>
      </c>
      <c r="E323" t="s">
        <v>1372</v>
      </c>
      <c r="F323" t="s">
        <v>1712</v>
      </c>
      <c r="G323" t="s">
        <v>1717</v>
      </c>
      <c r="H323" t="s">
        <v>1722</v>
      </c>
      <c r="I323" t="s">
        <v>1767</v>
      </c>
      <c r="J323" t="s">
        <v>2085</v>
      </c>
      <c r="K323" t="s">
        <v>2359</v>
      </c>
      <c r="M323" t="s">
        <v>2533</v>
      </c>
      <c r="N323" t="s">
        <v>2727</v>
      </c>
      <c r="O323" t="s">
        <v>2728</v>
      </c>
      <c r="P323">
        <v>0</v>
      </c>
      <c r="Q323">
        <v>0</v>
      </c>
      <c r="R323" t="s">
        <v>2730</v>
      </c>
      <c r="S323" t="s">
        <v>2732</v>
      </c>
      <c r="T323" t="s">
        <v>2810</v>
      </c>
      <c r="U323" t="s">
        <v>3156</v>
      </c>
      <c r="W323" t="s">
        <v>2533</v>
      </c>
      <c r="X323" t="s">
        <v>2729</v>
      </c>
    </row>
    <row r="324" spans="1:24">
      <c r="A324">
        <f>HYPERLINK("https://www.philgeps.gov.ph/GEPSNONPILOT/Tender/SplashBidNoticeAbstractUI.aspx?menuIndex=3&amp;refID=7064605&amp;Result=3","7064605")</f>
        <v>0</v>
      </c>
      <c r="B324" t="s">
        <v>143</v>
      </c>
      <c r="C324" t="s">
        <v>645</v>
      </c>
      <c r="D324" t="s">
        <v>1037</v>
      </c>
      <c r="E324" t="s">
        <v>1373</v>
      </c>
      <c r="F324" t="s">
        <v>1712</v>
      </c>
      <c r="G324" t="s">
        <v>1718</v>
      </c>
      <c r="H324" t="s">
        <v>1723</v>
      </c>
      <c r="I324" t="s">
        <v>1729</v>
      </c>
      <c r="J324" t="s">
        <v>2000</v>
      </c>
      <c r="K324" t="s">
        <v>2367</v>
      </c>
      <c r="M324" t="s">
        <v>2534</v>
      </c>
      <c r="N324" t="s">
        <v>2727</v>
      </c>
      <c r="O324" t="s">
        <v>2728</v>
      </c>
      <c r="P324">
        <v>0</v>
      </c>
      <c r="Q324">
        <v>0</v>
      </c>
      <c r="R324" t="s">
        <v>2730</v>
      </c>
      <c r="S324" t="s">
        <v>2732</v>
      </c>
      <c r="T324" t="s">
        <v>2811</v>
      </c>
      <c r="U324" t="s">
        <v>3157</v>
      </c>
      <c r="V324" t="s">
        <v>3519</v>
      </c>
      <c r="W324" t="s">
        <v>2534</v>
      </c>
      <c r="X324" t="s">
        <v>2729</v>
      </c>
    </row>
    <row r="325" spans="1:24">
      <c r="A325">
        <f>HYPERLINK("https://www.philgeps.gov.ph/GEPSNONPILOT/Tender/SplashBidNoticeAbstractUI.aspx?menuIndex=3&amp;refID=7064609&amp;Result=3","7064609")</f>
        <v>0</v>
      </c>
      <c r="B325" t="s">
        <v>144</v>
      </c>
      <c r="C325" t="s">
        <v>646</v>
      </c>
      <c r="D325" t="s">
        <v>997</v>
      </c>
      <c r="E325" t="s">
        <v>1374</v>
      </c>
      <c r="F325" t="s">
        <v>1712</v>
      </c>
      <c r="G325" t="s">
        <v>1717</v>
      </c>
      <c r="H325" t="s">
        <v>1722</v>
      </c>
      <c r="I325" t="s">
        <v>1727</v>
      </c>
      <c r="J325" t="s">
        <v>2086</v>
      </c>
      <c r="K325" t="s">
        <v>2366</v>
      </c>
      <c r="M325" t="s">
        <v>2535</v>
      </c>
      <c r="N325" t="s">
        <v>2727</v>
      </c>
      <c r="O325" t="s">
        <v>2728</v>
      </c>
      <c r="P325">
        <v>0</v>
      </c>
      <c r="Q325">
        <v>0</v>
      </c>
      <c r="R325" t="s">
        <v>2730</v>
      </c>
      <c r="S325" t="s">
        <v>2732</v>
      </c>
      <c r="T325" t="s">
        <v>2749</v>
      </c>
      <c r="U325" t="s">
        <v>3158</v>
      </c>
      <c r="W325" t="s">
        <v>2535</v>
      </c>
      <c r="X325" t="s">
        <v>2729</v>
      </c>
    </row>
    <row r="326" spans="1:24">
      <c r="A326">
        <f>HYPERLINK("https://www.philgeps.gov.ph/GEPSNONPILOT/Tender/SplashBidNoticeAbstractUI.aspx?menuIndex=3&amp;refID=7064604&amp;Result=3","7064604")</f>
        <v>0</v>
      </c>
      <c r="B326" t="s">
        <v>145</v>
      </c>
      <c r="C326" t="s">
        <v>647</v>
      </c>
      <c r="E326" t="s">
        <v>647</v>
      </c>
      <c r="F326" t="s">
        <v>1712</v>
      </c>
      <c r="G326" t="s">
        <v>1717</v>
      </c>
      <c r="H326" t="s">
        <v>1723</v>
      </c>
      <c r="I326" t="s">
        <v>1729</v>
      </c>
      <c r="J326" t="s">
        <v>2087</v>
      </c>
      <c r="K326" t="s">
        <v>2367</v>
      </c>
      <c r="M326" t="s">
        <v>2536</v>
      </c>
      <c r="N326" t="s">
        <v>2727</v>
      </c>
      <c r="O326" t="s">
        <v>2728</v>
      </c>
      <c r="P326">
        <v>0</v>
      </c>
      <c r="Q326">
        <v>0</v>
      </c>
      <c r="R326" t="s">
        <v>2730</v>
      </c>
      <c r="S326" t="s">
        <v>2732</v>
      </c>
      <c r="T326" t="s">
        <v>2812</v>
      </c>
      <c r="U326" t="s">
        <v>3159</v>
      </c>
      <c r="W326" t="s">
        <v>2536</v>
      </c>
      <c r="X326" t="s">
        <v>2729</v>
      </c>
    </row>
    <row r="327" spans="1:24">
      <c r="A327">
        <f>HYPERLINK("https://www.philgeps.gov.ph/GEPSNONPILOT/Tender/SplashBidNoticeAbstractUI.aspx?menuIndex=3&amp;refID=7064606&amp;Result=3","7064606")</f>
        <v>0</v>
      </c>
      <c r="B327" t="s">
        <v>146</v>
      </c>
      <c r="C327" t="s">
        <v>648</v>
      </c>
      <c r="D327" t="s">
        <v>1045</v>
      </c>
      <c r="E327" t="s">
        <v>1375</v>
      </c>
      <c r="F327" t="s">
        <v>1712</v>
      </c>
      <c r="G327" t="s">
        <v>1717</v>
      </c>
      <c r="H327" t="s">
        <v>1722</v>
      </c>
      <c r="I327" t="s">
        <v>1727</v>
      </c>
      <c r="J327" t="s">
        <v>2088</v>
      </c>
      <c r="K327" t="s">
        <v>2366</v>
      </c>
      <c r="M327" t="s">
        <v>2537</v>
      </c>
      <c r="N327" t="s">
        <v>2727</v>
      </c>
      <c r="O327" t="s">
        <v>2728</v>
      </c>
      <c r="P327">
        <v>0</v>
      </c>
      <c r="Q327">
        <v>0</v>
      </c>
      <c r="R327" t="s">
        <v>2730</v>
      </c>
      <c r="S327" t="s">
        <v>2732</v>
      </c>
      <c r="T327" t="s">
        <v>2813</v>
      </c>
      <c r="U327" t="s">
        <v>3160</v>
      </c>
      <c r="W327" t="s">
        <v>2537</v>
      </c>
      <c r="X327" t="s">
        <v>2729</v>
      </c>
    </row>
    <row r="328" spans="1:24">
      <c r="A328">
        <f>HYPERLINK("https://www.philgeps.gov.ph/GEPSNONPILOT/Tender/SplashBidNoticeAbstractUI.aspx?menuIndex=3&amp;refID=7064608&amp;Result=3","7064608")</f>
        <v>0</v>
      </c>
      <c r="B328" t="s">
        <v>143</v>
      </c>
      <c r="C328" t="s">
        <v>649</v>
      </c>
      <c r="D328" t="s">
        <v>1037</v>
      </c>
      <c r="E328" t="s">
        <v>1376</v>
      </c>
      <c r="F328" t="s">
        <v>1712</v>
      </c>
      <c r="G328" t="s">
        <v>1718</v>
      </c>
      <c r="H328" t="s">
        <v>1722</v>
      </c>
      <c r="I328" t="s">
        <v>1780</v>
      </c>
      <c r="J328" t="s">
        <v>1829</v>
      </c>
      <c r="K328" t="s">
        <v>2367</v>
      </c>
      <c r="M328" t="s">
        <v>2534</v>
      </c>
      <c r="N328" t="s">
        <v>2727</v>
      </c>
      <c r="O328" t="s">
        <v>2728</v>
      </c>
      <c r="P328">
        <v>0</v>
      </c>
      <c r="Q328">
        <v>0</v>
      </c>
      <c r="R328" t="s">
        <v>2730</v>
      </c>
      <c r="S328" t="s">
        <v>2732</v>
      </c>
      <c r="T328" t="s">
        <v>2811</v>
      </c>
      <c r="U328" t="s">
        <v>3161</v>
      </c>
      <c r="V328" t="s">
        <v>3519</v>
      </c>
      <c r="W328" t="s">
        <v>2534</v>
      </c>
      <c r="X328" t="s">
        <v>2729</v>
      </c>
    </row>
    <row r="329" spans="1:24">
      <c r="A329">
        <f>HYPERLINK("https://www.philgeps.gov.ph/GEPSNONPILOT/Tender/SplashBidNoticeAbstractUI.aspx?menuIndex=3&amp;refID=7064600&amp;Result=3","7064600")</f>
        <v>0</v>
      </c>
      <c r="B329" t="s">
        <v>143</v>
      </c>
      <c r="C329" t="s">
        <v>650</v>
      </c>
      <c r="D329" t="s">
        <v>1037</v>
      </c>
      <c r="E329" t="s">
        <v>1377</v>
      </c>
      <c r="F329" t="s">
        <v>1712</v>
      </c>
      <c r="G329" t="s">
        <v>1718</v>
      </c>
      <c r="H329" t="s">
        <v>1722</v>
      </c>
      <c r="I329" t="s">
        <v>1759</v>
      </c>
      <c r="J329" t="s">
        <v>2089</v>
      </c>
      <c r="K329" t="s">
        <v>2367</v>
      </c>
      <c r="M329" t="s">
        <v>2534</v>
      </c>
      <c r="N329" t="s">
        <v>2727</v>
      </c>
      <c r="O329" t="s">
        <v>2728</v>
      </c>
      <c r="P329">
        <v>0</v>
      </c>
      <c r="Q329">
        <v>0</v>
      </c>
      <c r="R329" t="s">
        <v>2730</v>
      </c>
      <c r="S329" t="s">
        <v>2732</v>
      </c>
      <c r="T329" t="s">
        <v>2811</v>
      </c>
      <c r="U329" t="s">
        <v>3161</v>
      </c>
      <c r="V329" t="s">
        <v>3520</v>
      </c>
      <c r="W329" t="s">
        <v>2534</v>
      </c>
      <c r="X329" t="s">
        <v>2729</v>
      </c>
    </row>
    <row r="330" spans="1:24">
      <c r="A330">
        <f>HYPERLINK("https://www.philgeps.gov.ph/GEPSNONPILOT/Tender/SplashBidNoticeAbstractUI.aspx?menuIndex=3&amp;refID=7064607&amp;Result=3","7064607")</f>
        <v>0</v>
      </c>
      <c r="B330" t="s">
        <v>143</v>
      </c>
      <c r="C330" t="s">
        <v>651</v>
      </c>
      <c r="D330" t="s">
        <v>1037</v>
      </c>
      <c r="E330" t="s">
        <v>1378</v>
      </c>
      <c r="F330" t="s">
        <v>1712</v>
      </c>
      <c r="G330" t="s">
        <v>1718</v>
      </c>
      <c r="H330" t="s">
        <v>1723</v>
      </c>
      <c r="I330" t="s">
        <v>1729</v>
      </c>
      <c r="J330" t="s">
        <v>2090</v>
      </c>
      <c r="K330" t="s">
        <v>2367</v>
      </c>
      <c r="M330" t="s">
        <v>2534</v>
      </c>
      <c r="N330" t="s">
        <v>2727</v>
      </c>
      <c r="O330" t="s">
        <v>2728</v>
      </c>
      <c r="P330">
        <v>0</v>
      </c>
      <c r="Q330">
        <v>0</v>
      </c>
      <c r="R330" t="s">
        <v>2730</v>
      </c>
      <c r="S330" t="s">
        <v>2732</v>
      </c>
      <c r="T330" t="s">
        <v>2811</v>
      </c>
      <c r="U330" t="s">
        <v>3162</v>
      </c>
      <c r="V330" t="s">
        <v>3521</v>
      </c>
      <c r="W330" t="s">
        <v>2534</v>
      </c>
      <c r="X330" t="s">
        <v>2729</v>
      </c>
    </row>
    <row r="331" spans="1:24">
      <c r="A331">
        <f>HYPERLINK("https://www.philgeps.gov.ph/GEPSNONPILOT/Tender/SplashBidNoticeAbstractUI.aspx?menuIndex=3&amp;refID=7064603&amp;Result=3","7064603")</f>
        <v>0</v>
      </c>
      <c r="B331" t="s">
        <v>147</v>
      </c>
      <c r="C331" t="s">
        <v>652</v>
      </c>
      <c r="D331" t="s">
        <v>1046</v>
      </c>
      <c r="E331" t="s">
        <v>1379</v>
      </c>
      <c r="F331" t="s">
        <v>1712</v>
      </c>
      <c r="G331" t="s">
        <v>1716</v>
      </c>
      <c r="H331" t="s">
        <v>1722</v>
      </c>
      <c r="I331" t="s">
        <v>1781</v>
      </c>
      <c r="J331" t="s">
        <v>2091</v>
      </c>
      <c r="K331" t="s">
        <v>2374</v>
      </c>
      <c r="M331" t="s">
        <v>2538</v>
      </c>
      <c r="N331" t="s">
        <v>2727</v>
      </c>
      <c r="O331" t="s">
        <v>2728</v>
      </c>
      <c r="P331">
        <v>0</v>
      </c>
      <c r="Q331">
        <v>0</v>
      </c>
      <c r="R331" t="s">
        <v>2730</v>
      </c>
      <c r="S331" t="s">
        <v>2732</v>
      </c>
      <c r="T331" t="s">
        <v>2799</v>
      </c>
      <c r="U331" t="s">
        <v>3163</v>
      </c>
      <c r="V331" t="s">
        <v>3522</v>
      </c>
      <c r="W331" t="s">
        <v>2538</v>
      </c>
      <c r="X331" t="s">
        <v>2729</v>
      </c>
    </row>
    <row r="332" spans="1:24">
      <c r="A332">
        <f>HYPERLINK("https://www.philgeps.gov.ph/GEPSNONPILOT/Tender/SplashBidNoticeAbstractUI.aspx?menuIndex=3&amp;refID=7064599&amp;Result=3","7064599")</f>
        <v>0</v>
      </c>
      <c r="B332" t="s">
        <v>146</v>
      </c>
      <c r="C332" t="s">
        <v>653</v>
      </c>
      <c r="D332" t="s">
        <v>1045</v>
      </c>
      <c r="E332" t="s">
        <v>1380</v>
      </c>
      <c r="F332" t="s">
        <v>1712</v>
      </c>
      <c r="G332" t="s">
        <v>1717</v>
      </c>
      <c r="H332" t="s">
        <v>1722</v>
      </c>
      <c r="I332" t="s">
        <v>1730</v>
      </c>
      <c r="J332" t="s">
        <v>1824</v>
      </c>
      <c r="K332" t="s">
        <v>2366</v>
      </c>
      <c r="M332" t="s">
        <v>2537</v>
      </c>
      <c r="N332" t="s">
        <v>2727</v>
      </c>
      <c r="O332" t="s">
        <v>2728</v>
      </c>
      <c r="P332">
        <v>0</v>
      </c>
      <c r="Q332">
        <v>0</v>
      </c>
      <c r="R332" t="s">
        <v>2730</v>
      </c>
      <c r="S332" t="s">
        <v>2732</v>
      </c>
      <c r="T332" t="s">
        <v>2813</v>
      </c>
      <c r="U332" t="s">
        <v>3164</v>
      </c>
      <c r="W332" t="s">
        <v>2537</v>
      </c>
      <c r="X332" t="s">
        <v>2729</v>
      </c>
    </row>
    <row r="333" spans="1:24">
      <c r="A333">
        <f>HYPERLINK("https://www.philgeps.gov.ph/GEPSNONPILOT/Tender/SplashBidNoticeAbstractUI.aspx?menuIndex=3&amp;refID=7064597&amp;Result=3","7064597")</f>
        <v>0</v>
      </c>
      <c r="B333" t="s">
        <v>146</v>
      </c>
      <c r="C333" t="s">
        <v>654</v>
      </c>
      <c r="D333" t="s">
        <v>1045</v>
      </c>
      <c r="E333" t="s">
        <v>1381</v>
      </c>
      <c r="F333" t="s">
        <v>1712</v>
      </c>
      <c r="G333" t="s">
        <v>1717</v>
      </c>
      <c r="H333" t="s">
        <v>1722</v>
      </c>
      <c r="I333" t="s">
        <v>1741</v>
      </c>
      <c r="J333" t="s">
        <v>2092</v>
      </c>
      <c r="K333" t="s">
        <v>2366</v>
      </c>
      <c r="M333" t="s">
        <v>2537</v>
      </c>
      <c r="N333" t="s">
        <v>2727</v>
      </c>
      <c r="O333" t="s">
        <v>2728</v>
      </c>
      <c r="P333">
        <v>0</v>
      </c>
      <c r="Q333">
        <v>0</v>
      </c>
      <c r="R333" t="s">
        <v>2730</v>
      </c>
      <c r="S333" t="s">
        <v>2732</v>
      </c>
      <c r="T333" t="s">
        <v>2813</v>
      </c>
      <c r="U333" t="s">
        <v>3165</v>
      </c>
      <c r="W333" t="s">
        <v>2537</v>
      </c>
      <c r="X333" t="s">
        <v>2729</v>
      </c>
    </row>
    <row r="334" spans="1:24">
      <c r="A334">
        <f>HYPERLINK("https://www.philgeps.gov.ph/GEPSNONPILOT/Tender/SplashBidNoticeAbstractUI.aspx?menuIndex=3&amp;refID=7064602&amp;Result=3","7064602")</f>
        <v>0</v>
      </c>
      <c r="B334" t="s">
        <v>146</v>
      </c>
      <c r="C334" t="s">
        <v>655</v>
      </c>
      <c r="D334" t="s">
        <v>1045</v>
      </c>
      <c r="E334" t="s">
        <v>1382</v>
      </c>
      <c r="F334" t="s">
        <v>1712</v>
      </c>
      <c r="G334" t="s">
        <v>1717</v>
      </c>
      <c r="H334" t="s">
        <v>1722</v>
      </c>
      <c r="I334" t="s">
        <v>1732</v>
      </c>
      <c r="J334" t="s">
        <v>2093</v>
      </c>
      <c r="K334" t="s">
        <v>2366</v>
      </c>
      <c r="M334" t="s">
        <v>2537</v>
      </c>
      <c r="N334" t="s">
        <v>2727</v>
      </c>
      <c r="O334" t="s">
        <v>2728</v>
      </c>
      <c r="P334">
        <v>0</v>
      </c>
      <c r="Q334">
        <v>0</v>
      </c>
      <c r="R334" t="s">
        <v>2730</v>
      </c>
      <c r="S334" t="s">
        <v>2732</v>
      </c>
      <c r="T334" t="s">
        <v>2813</v>
      </c>
      <c r="U334" t="s">
        <v>3166</v>
      </c>
      <c r="W334" t="s">
        <v>2537</v>
      </c>
      <c r="X334" t="s">
        <v>2729</v>
      </c>
    </row>
    <row r="335" spans="1:24">
      <c r="A335">
        <f>HYPERLINK("https://www.philgeps.gov.ph/GEPSNONPILOT/Tender/SplashBidNoticeAbstractUI.aspx?menuIndex=3&amp;refID=7064569&amp;Result=3","7064569")</f>
        <v>0</v>
      </c>
      <c r="B335" t="s">
        <v>138</v>
      </c>
      <c r="C335" t="s">
        <v>656</v>
      </c>
      <c r="D335" t="s">
        <v>1044</v>
      </c>
      <c r="E335" t="s">
        <v>1383</v>
      </c>
      <c r="F335" t="s">
        <v>1712</v>
      </c>
      <c r="G335" t="s">
        <v>1718</v>
      </c>
      <c r="H335" t="s">
        <v>1722</v>
      </c>
      <c r="I335" t="s">
        <v>1727</v>
      </c>
      <c r="J335" t="s">
        <v>2094</v>
      </c>
      <c r="K335" t="s">
        <v>2374</v>
      </c>
      <c r="M335" t="s">
        <v>2529</v>
      </c>
      <c r="N335" t="s">
        <v>2727</v>
      </c>
      <c r="O335" t="s">
        <v>2728</v>
      </c>
      <c r="P335">
        <v>0</v>
      </c>
      <c r="Q335">
        <v>0</v>
      </c>
      <c r="R335" t="s">
        <v>2730</v>
      </c>
      <c r="S335" t="s">
        <v>2732</v>
      </c>
      <c r="T335" t="s">
        <v>2814</v>
      </c>
      <c r="U335" t="s">
        <v>3167</v>
      </c>
      <c r="W335" t="s">
        <v>2529</v>
      </c>
      <c r="X335" t="s">
        <v>2729</v>
      </c>
    </row>
    <row r="336" spans="1:24">
      <c r="A336">
        <f>HYPERLINK("https://www.philgeps.gov.ph/GEPSNONPILOT/Tender/SplashBidNoticeAbstractUI.aspx?menuIndex=3&amp;refID=7064596&amp;Result=3","7064596")</f>
        <v>0</v>
      </c>
      <c r="B336" t="s">
        <v>143</v>
      </c>
      <c r="C336" t="s">
        <v>657</v>
      </c>
      <c r="D336" t="s">
        <v>1037</v>
      </c>
      <c r="E336" t="s">
        <v>1384</v>
      </c>
      <c r="F336" t="s">
        <v>1712</v>
      </c>
      <c r="G336" t="s">
        <v>1718</v>
      </c>
      <c r="H336" t="s">
        <v>1722</v>
      </c>
      <c r="I336" t="s">
        <v>1771</v>
      </c>
      <c r="J336" t="s">
        <v>2095</v>
      </c>
      <c r="K336" t="s">
        <v>2367</v>
      </c>
      <c r="M336" t="s">
        <v>2534</v>
      </c>
      <c r="N336" t="s">
        <v>2727</v>
      </c>
      <c r="O336" t="s">
        <v>2728</v>
      </c>
      <c r="P336">
        <v>0</v>
      </c>
      <c r="Q336">
        <v>0</v>
      </c>
      <c r="R336" t="s">
        <v>2730</v>
      </c>
      <c r="S336" t="s">
        <v>2732</v>
      </c>
      <c r="T336" t="s">
        <v>2811</v>
      </c>
      <c r="U336" t="s">
        <v>3168</v>
      </c>
      <c r="V336" t="s">
        <v>3523</v>
      </c>
      <c r="W336" t="s">
        <v>2534</v>
      </c>
      <c r="X336" t="s">
        <v>2729</v>
      </c>
    </row>
    <row r="337" spans="1:24">
      <c r="A337">
        <f>HYPERLINK("https://www.philgeps.gov.ph/GEPSNONPILOT/Tender/SplashBidNoticeAbstractUI.aspx?menuIndex=3&amp;refID=7064595&amp;Result=3","7064595")</f>
        <v>0</v>
      </c>
      <c r="B337" t="s">
        <v>148</v>
      </c>
      <c r="C337" t="s">
        <v>658</v>
      </c>
      <c r="D337" t="s">
        <v>1000</v>
      </c>
      <c r="E337" t="s">
        <v>1385</v>
      </c>
      <c r="F337" t="s">
        <v>1712</v>
      </c>
      <c r="G337" t="s">
        <v>1718</v>
      </c>
      <c r="H337" t="s">
        <v>1722</v>
      </c>
      <c r="I337" t="s">
        <v>1734</v>
      </c>
      <c r="J337" t="s">
        <v>2096</v>
      </c>
      <c r="K337" t="s">
        <v>2381</v>
      </c>
      <c r="M337" t="s">
        <v>2539</v>
      </c>
      <c r="N337" t="s">
        <v>2727</v>
      </c>
      <c r="O337" t="s">
        <v>2728</v>
      </c>
      <c r="P337">
        <v>0</v>
      </c>
      <c r="Q337">
        <v>0</v>
      </c>
      <c r="R337" t="s">
        <v>2730</v>
      </c>
      <c r="S337" t="s">
        <v>2732</v>
      </c>
      <c r="T337" t="s">
        <v>2815</v>
      </c>
      <c r="U337" t="s">
        <v>3169</v>
      </c>
      <c r="W337" t="s">
        <v>2539</v>
      </c>
      <c r="X337" t="s">
        <v>2729</v>
      </c>
    </row>
    <row r="338" spans="1:24">
      <c r="A338">
        <f>HYPERLINK("https://www.philgeps.gov.ph/GEPSNONPILOT/Tender/SplashBidNoticeAbstractUI.aspx?menuIndex=3&amp;refID=7064594&amp;Result=3","7064594")</f>
        <v>0</v>
      </c>
      <c r="B338" t="s">
        <v>149</v>
      </c>
      <c r="C338" t="s">
        <v>659</v>
      </c>
      <c r="D338" t="s">
        <v>1047</v>
      </c>
      <c r="E338" t="s">
        <v>1386</v>
      </c>
      <c r="F338" t="s">
        <v>1712</v>
      </c>
      <c r="G338" t="s">
        <v>1717</v>
      </c>
      <c r="H338" t="s">
        <v>1722</v>
      </c>
      <c r="I338" t="s">
        <v>1732</v>
      </c>
      <c r="J338" t="s">
        <v>2097</v>
      </c>
      <c r="K338" t="s">
        <v>2365</v>
      </c>
      <c r="M338" t="s">
        <v>2540</v>
      </c>
      <c r="N338" t="s">
        <v>2727</v>
      </c>
      <c r="O338" t="s">
        <v>2728</v>
      </c>
      <c r="P338">
        <v>0</v>
      </c>
      <c r="Q338">
        <v>0</v>
      </c>
      <c r="R338" t="s">
        <v>2730</v>
      </c>
      <c r="S338" t="s">
        <v>2732</v>
      </c>
      <c r="T338" t="s">
        <v>2748</v>
      </c>
      <c r="U338" t="s">
        <v>3170</v>
      </c>
      <c r="V338" t="s">
        <v>3524</v>
      </c>
      <c r="W338" t="s">
        <v>2540</v>
      </c>
      <c r="X338" t="s">
        <v>2729</v>
      </c>
    </row>
    <row r="339" spans="1:24">
      <c r="A339">
        <f>HYPERLINK("https://www.philgeps.gov.ph/GEPSNONPILOT/Tender/SplashBidNoticeAbstractUI.aspx?menuIndex=3&amp;refID=7064598&amp;Result=3","7064598")</f>
        <v>0</v>
      </c>
      <c r="B339" t="s">
        <v>150</v>
      </c>
      <c r="C339" t="s">
        <v>660</v>
      </c>
      <c r="D339" t="s">
        <v>1045</v>
      </c>
      <c r="E339" t="s">
        <v>1387</v>
      </c>
      <c r="F339" t="s">
        <v>1713</v>
      </c>
      <c r="G339" t="s">
        <v>1716</v>
      </c>
      <c r="H339" t="s">
        <v>1722</v>
      </c>
      <c r="I339" t="s">
        <v>1727</v>
      </c>
      <c r="J339" t="s">
        <v>2098</v>
      </c>
      <c r="K339" t="s">
        <v>2359</v>
      </c>
      <c r="L339" t="s">
        <v>150</v>
      </c>
      <c r="M339" t="s">
        <v>2541</v>
      </c>
      <c r="N339" t="s">
        <v>2727</v>
      </c>
      <c r="O339" t="s">
        <v>2728</v>
      </c>
      <c r="P339">
        <v>0</v>
      </c>
      <c r="Q339">
        <v>0</v>
      </c>
      <c r="R339" t="s">
        <v>2730</v>
      </c>
      <c r="S339" t="s">
        <v>2732</v>
      </c>
      <c r="T339" t="s">
        <v>2770</v>
      </c>
      <c r="U339" t="s">
        <v>3171</v>
      </c>
      <c r="W339" t="s">
        <v>2541</v>
      </c>
      <c r="X339" t="s">
        <v>2729</v>
      </c>
    </row>
    <row r="340" spans="1:24">
      <c r="A340">
        <f>HYPERLINK("https://www.philgeps.gov.ph/GEPSNONPILOT/Tender/SplashBidNoticeAbstractUI.aspx?menuIndex=3&amp;refID=7064592&amp;Result=3","7064592")</f>
        <v>0</v>
      </c>
      <c r="B340" t="s">
        <v>151</v>
      </c>
      <c r="C340" t="s">
        <v>661</v>
      </c>
      <c r="E340" t="s">
        <v>1388</v>
      </c>
      <c r="F340" t="s">
        <v>1712</v>
      </c>
      <c r="G340" t="s">
        <v>1718</v>
      </c>
      <c r="H340" t="s">
        <v>1722</v>
      </c>
      <c r="I340" t="s">
        <v>1731</v>
      </c>
      <c r="J340" t="s">
        <v>2099</v>
      </c>
      <c r="K340" t="s">
        <v>2367</v>
      </c>
      <c r="M340" t="s">
        <v>2542</v>
      </c>
      <c r="N340" t="s">
        <v>2727</v>
      </c>
      <c r="O340" t="s">
        <v>2728</v>
      </c>
      <c r="P340">
        <v>0</v>
      </c>
      <c r="Q340">
        <v>0</v>
      </c>
      <c r="R340" t="s">
        <v>2730</v>
      </c>
      <c r="S340" t="s">
        <v>2732</v>
      </c>
      <c r="T340" t="s">
        <v>2816</v>
      </c>
      <c r="U340" t="s">
        <v>3172</v>
      </c>
      <c r="W340" t="s">
        <v>2542</v>
      </c>
      <c r="X340" t="s">
        <v>2729</v>
      </c>
    </row>
    <row r="341" spans="1:24">
      <c r="A341">
        <f>HYPERLINK("https://www.philgeps.gov.ph/GEPSNONPILOT/Tender/SplashBidNoticeAbstractUI.aspx?menuIndex=3&amp;refID=7064610&amp;Result=3","7064610")</f>
        <v>0</v>
      </c>
      <c r="B341" t="s">
        <v>147</v>
      </c>
      <c r="C341" t="s">
        <v>662</v>
      </c>
      <c r="D341" t="s">
        <v>1046</v>
      </c>
      <c r="E341" t="s">
        <v>1389</v>
      </c>
      <c r="F341" t="s">
        <v>1712</v>
      </c>
      <c r="G341" t="s">
        <v>1716</v>
      </c>
      <c r="H341" t="s">
        <v>1722</v>
      </c>
      <c r="I341" t="s">
        <v>1775</v>
      </c>
      <c r="J341" t="s">
        <v>2100</v>
      </c>
      <c r="K341" t="s">
        <v>2374</v>
      </c>
      <c r="M341" t="s">
        <v>2538</v>
      </c>
      <c r="N341" t="s">
        <v>2727</v>
      </c>
      <c r="O341" t="s">
        <v>2728</v>
      </c>
      <c r="P341">
        <v>0</v>
      </c>
      <c r="Q341">
        <v>0</v>
      </c>
      <c r="R341" t="s">
        <v>2730</v>
      </c>
      <c r="S341" t="s">
        <v>2732</v>
      </c>
      <c r="T341" t="s">
        <v>2799</v>
      </c>
      <c r="U341" t="s">
        <v>3173</v>
      </c>
      <c r="V341" t="s">
        <v>3522</v>
      </c>
      <c r="W341" t="s">
        <v>2538</v>
      </c>
      <c r="X341" t="s">
        <v>2729</v>
      </c>
    </row>
    <row r="342" spans="1:24">
      <c r="A342">
        <f>HYPERLINK("https://www.philgeps.gov.ph/GEPSNONPILOT/Tender/SplashBidNoticeAbstractUI.aspx?menuIndex=3&amp;refID=7064613&amp;Result=3","7064613")</f>
        <v>0</v>
      </c>
      <c r="B342" t="s">
        <v>152</v>
      </c>
      <c r="C342" t="s">
        <v>663</v>
      </c>
      <c r="D342" t="s">
        <v>1043</v>
      </c>
      <c r="E342" t="s">
        <v>1390</v>
      </c>
      <c r="F342" t="s">
        <v>1712</v>
      </c>
      <c r="G342" t="s">
        <v>1716</v>
      </c>
      <c r="H342" t="s">
        <v>1723</v>
      </c>
      <c r="I342" t="s">
        <v>1729</v>
      </c>
      <c r="J342" t="s">
        <v>2101</v>
      </c>
      <c r="K342" t="s">
        <v>2400</v>
      </c>
      <c r="M342" t="s">
        <v>2543</v>
      </c>
      <c r="N342" t="s">
        <v>2727</v>
      </c>
      <c r="O342" t="s">
        <v>2728</v>
      </c>
      <c r="P342">
        <v>0</v>
      </c>
      <c r="Q342">
        <v>0</v>
      </c>
      <c r="R342" t="s">
        <v>2730</v>
      </c>
      <c r="S342" t="s">
        <v>2732</v>
      </c>
      <c r="T342" t="s">
        <v>2804</v>
      </c>
      <c r="U342" t="s">
        <v>3174</v>
      </c>
      <c r="W342" t="s">
        <v>2543</v>
      </c>
      <c r="X342" t="s">
        <v>2729</v>
      </c>
    </row>
    <row r="343" spans="1:24">
      <c r="A343">
        <f>HYPERLINK("https://www.philgeps.gov.ph/GEPSNONPILOT/Tender/SplashBidNoticeAbstractUI.aspx?menuIndex=3&amp;refID=7064630&amp;Result=3","7064630")</f>
        <v>0</v>
      </c>
      <c r="B343" t="s">
        <v>153</v>
      </c>
      <c r="C343" t="s">
        <v>664</v>
      </c>
      <c r="D343" t="s">
        <v>1033</v>
      </c>
      <c r="E343" t="s">
        <v>1391</v>
      </c>
      <c r="F343" t="s">
        <v>1712</v>
      </c>
      <c r="G343" t="s">
        <v>1718</v>
      </c>
      <c r="H343" t="s">
        <v>1722</v>
      </c>
      <c r="I343" t="s">
        <v>1742</v>
      </c>
      <c r="J343" t="s">
        <v>2102</v>
      </c>
      <c r="K343" t="s">
        <v>2372</v>
      </c>
      <c r="M343" t="s">
        <v>2544</v>
      </c>
      <c r="N343" t="s">
        <v>2727</v>
      </c>
      <c r="O343" t="s">
        <v>2728</v>
      </c>
      <c r="P343">
        <v>0</v>
      </c>
      <c r="Q343">
        <v>0</v>
      </c>
      <c r="R343" t="s">
        <v>2730</v>
      </c>
      <c r="S343" t="s">
        <v>2732</v>
      </c>
      <c r="T343" t="s">
        <v>2749</v>
      </c>
      <c r="U343" t="s">
        <v>3175</v>
      </c>
      <c r="W343" t="s">
        <v>2544</v>
      </c>
      <c r="X343" t="s">
        <v>2729</v>
      </c>
    </row>
    <row r="344" spans="1:24">
      <c r="A344">
        <f>HYPERLINK("https://www.philgeps.gov.ph/GEPSNONPILOT/Tender/SplashBidNoticeAbstractUI.aspx?menuIndex=3&amp;refID=7064612&amp;Result=3","7064612")</f>
        <v>0</v>
      </c>
      <c r="B344" t="s">
        <v>143</v>
      </c>
      <c r="C344" t="s">
        <v>665</v>
      </c>
      <c r="D344" t="s">
        <v>1037</v>
      </c>
      <c r="E344" t="s">
        <v>1392</v>
      </c>
      <c r="F344" t="s">
        <v>1712</v>
      </c>
      <c r="G344" t="s">
        <v>1717</v>
      </c>
      <c r="H344" t="s">
        <v>1722</v>
      </c>
      <c r="I344" t="s">
        <v>1745</v>
      </c>
      <c r="J344" t="s">
        <v>2103</v>
      </c>
      <c r="K344" t="s">
        <v>2367</v>
      </c>
      <c r="M344" t="s">
        <v>2534</v>
      </c>
      <c r="N344" t="s">
        <v>2727</v>
      </c>
      <c r="O344" t="s">
        <v>2728</v>
      </c>
      <c r="P344">
        <v>0</v>
      </c>
      <c r="Q344">
        <v>0</v>
      </c>
      <c r="R344" t="s">
        <v>2730</v>
      </c>
      <c r="S344" t="s">
        <v>2732</v>
      </c>
      <c r="T344" t="s">
        <v>2811</v>
      </c>
      <c r="U344" t="s">
        <v>3176</v>
      </c>
      <c r="V344" t="s">
        <v>3519</v>
      </c>
      <c r="W344" t="s">
        <v>2534</v>
      </c>
      <c r="X344" t="s">
        <v>2729</v>
      </c>
    </row>
    <row r="345" spans="1:24">
      <c r="A345">
        <f>HYPERLINK("https://www.philgeps.gov.ph/GEPSNONPILOT/Tender/SplashBidNoticeAbstractUI.aspx?menuIndex=3&amp;refID=7064593&amp;Result=3","7064593")</f>
        <v>0</v>
      </c>
      <c r="B345" t="s">
        <v>154</v>
      </c>
      <c r="C345" t="s">
        <v>666</v>
      </c>
      <c r="D345" t="s">
        <v>1030</v>
      </c>
      <c r="E345" t="s">
        <v>1393</v>
      </c>
      <c r="F345" t="s">
        <v>1712</v>
      </c>
      <c r="G345" t="s">
        <v>1721</v>
      </c>
      <c r="H345" t="s">
        <v>1722</v>
      </c>
      <c r="I345" t="s">
        <v>1763</v>
      </c>
      <c r="J345" t="s">
        <v>1820</v>
      </c>
      <c r="K345" t="s">
        <v>2359</v>
      </c>
      <c r="M345" t="s">
        <v>2545</v>
      </c>
      <c r="N345" t="s">
        <v>2727</v>
      </c>
      <c r="O345" t="s">
        <v>2728</v>
      </c>
      <c r="P345">
        <v>0</v>
      </c>
      <c r="Q345">
        <v>0</v>
      </c>
      <c r="R345" t="s">
        <v>2730</v>
      </c>
      <c r="S345" t="s">
        <v>2732</v>
      </c>
      <c r="T345" t="s">
        <v>2748</v>
      </c>
      <c r="U345" t="s">
        <v>3177</v>
      </c>
      <c r="W345" t="s">
        <v>2545</v>
      </c>
      <c r="X345" t="s">
        <v>2729</v>
      </c>
    </row>
    <row r="346" spans="1:24">
      <c r="A346">
        <f>HYPERLINK("https://www.philgeps.gov.ph/GEPSNONPILOT/Tender/SplashBidNoticeAbstractUI.aspx?menuIndex=3&amp;refID=7064629&amp;Result=3","7064629")</f>
        <v>0</v>
      </c>
      <c r="B346" t="s">
        <v>155</v>
      </c>
      <c r="C346" t="s">
        <v>667</v>
      </c>
      <c r="D346" t="s">
        <v>1023</v>
      </c>
      <c r="E346" t="s">
        <v>1394</v>
      </c>
      <c r="F346" t="s">
        <v>1712</v>
      </c>
      <c r="G346" t="s">
        <v>1718</v>
      </c>
      <c r="H346" t="s">
        <v>1722</v>
      </c>
      <c r="I346" t="s">
        <v>1730</v>
      </c>
      <c r="J346" t="s">
        <v>2104</v>
      </c>
      <c r="K346" t="s">
        <v>2358</v>
      </c>
      <c r="M346" t="s">
        <v>2546</v>
      </c>
      <c r="N346" t="s">
        <v>2727</v>
      </c>
      <c r="O346" t="s">
        <v>2728</v>
      </c>
      <c r="P346">
        <v>0</v>
      </c>
      <c r="Q346">
        <v>0</v>
      </c>
      <c r="R346" t="s">
        <v>2730</v>
      </c>
      <c r="S346" t="s">
        <v>2732</v>
      </c>
      <c r="T346" t="s">
        <v>2740</v>
      </c>
      <c r="U346" t="s">
        <v>3178</v>
      </c>
      <c r="W346" t="s">
        <v>2546</v>
      </c>
      <c r="X346" t="s">
        <v>2729</v>
      </c>
    </row>
    <row r="347" spans="1:24">
      <c r="A347">
        <f>HYPERLINK("https://www.philgeps.gov.ph/GEPSNONPILOT/Tender/SplashBidNoticeAbstractUI.aspx?menuIndex=3&amp;refID=7064615&amp;Result=3","7064615")</f>
        <v>0</v>
      </c>
      <c r="B347" t="s">
        <v>143</v>
      </c>
      <c r="C347" t="s">
        <v>668</v>
      </c>
      <c r="D347" t="s">
        <v>1037</v>
      </c>
      <c r="E347" t="s">
        <v>1395</v>
      </c>
      <c r="F347" t="s">
        <v>1712</v>
      </c>
      <c r="G347" t="s">
        <v>1717</v>
      </c>
      <c r="H347" t="s">
        <v>1722</v>
      </c>
      <c r="I347" t="s">
        <v>1745</v>
      </c>
      <c r="J347" t="s">
        <v>2105</v>
      </c>
      <c r="K347" t="s">
        <v>2367</v>
      </c>
      <c r="M347" t="s">
        <v>2534</v>
      </c>
      <c r="N347" t="s">
        <v>2727</v>
      </c>
      <c r="O347" t="s">
        <v>2728</v>
      </c>
      <c r="P347">
        <v>0</v>
      </c>
      <c r="Q347">
        <v>0</v>
      </c>
      <c r="R347" t="s">
        <v>2730</v>
      </c>
      <c r="S347" t="s">
        <v>2732</v>
      </c>
      <c r="T347" t="s">
        <v>2811</v>
      </c>
      <c r="U347" t="s">
        <v>3176</v>
      </c>
      <c r="V347" t="s">
        <v>3525</v>
      </c>
      <c r="W347" t="s">
        <v>2534</v>
      </c>
      <c r="X347" t="s">
        <v>2729</v>
      </c>
    </row>
    <row r="348" spans="1:24">
      <c r="A348">
        <f>HYPERLINK("https://www.philgeps.gov.ph/GEPSNONPILOT/Tender/SplashBidNoticeAbstractUI.aspx?menuIndex=3&amp;refID=7064631&amp;Result=3","7064631")</f>
        <v>0</v>
      </c>
      <c r="B348" t="s">
        <v>156</v>
      </c>
      <c r="C348" t="s">
        <v>669</v>
      </c>
      <c r="D348" t="s">
        <v>997</v>
      </c>
      <c r="E348" t="s">
        <v>1396</v>
      </c>
      <c r="F348" t="s">
        <v>1712</v>
      </c>
      <c r="G348" t="s">
        <v>1717</v>
      </c>
      <c r="H348" t="s">
        <v>1722</v>
      </c>
      <c r="I348" t="s">
        <v>1756</v>
      </c>
      <c r="J348" t="s">
        <v>2106</v>
      </c>
      <c r="K348" t="s">
        <v>2371</v>
      </c>
      <c r="M348" t="s">
        <v>2547</v>
      </c>
      <c r="N348" t="s">
        <v>2727</v>
      </c>
      <c r="O348" t="s">
        <v>2728</v>
      </c>
      <c r="P348">
        <v>0</v>
      </c>
      <c r="Q348">
        <v>0</v>
      </c>
      <c r="R348" t="s">
        <v>2730</v>
      </c>
      <c r="S348" t="s">
        <v>2732</v>
      </c>
      <c r="T348" t="s">
        <v>2746</v>
      </c>
      <c r="U348" t="s">
        <v>3179</v>
      </c>
      <c r="W348" t="s">
        <v>2547</v>
      </c>
      <c r="X348" t="s">
        <v>2729</v>
      </c>
    </row>
    <row r="349" spans="1:24">
      <c r="A349">
        <f>HYPERLINK("https://www.philgeps.gov.ph/GEPSNONPILOT/Tender/SplashBidNoticeAbstractUI.aspx?menuIndex=3&amp;refID=7064628&amp;Result=3","7064628")</f>
        <v>0</v>
      </c>
      <c r="B349" t="s">
        <v>157</v>
      </c>
      <c r="C349" t="s">
        <v>670</v>
      </c>
      <c r="D349" t="s">
        <v>1009</v>
      </c>
      <c r="E349" t="s">
        <v>1397</v>
      </c>
      <c r="F349" t="s">
        <v>1712</v>
      </c>
      <c r="G349" t="s">
        <v>1717</v>
      </c>
      <c r="H349" t="s">
        <v>1722</v>
      </c>
      <c r="I349" t="s">
        <v>1726</v>
      </c>
      <c r="J349" t="s">
        <v>2107</v>
      </c>
      <c r="K349" t="s">
        <v>2371</v>
      </c>
      <c r="M349" t="s">
        <v>2548</v>
      </c>
      <c r="N349" t="s">
        <v>2727</v>
      </c>
      <c r="O349" t="s">
        <v>2728</v>
      </c>
      <c r="P349">
        <v>0</v>
      </c>
      <c r="Q349">
        <v>0</v>
      </c>
      <c r="R349" t="s">
        <v>2730</v>
      </c>
      <c r="S349" t="s">
        <v>2732</v>
      </c>
      <c r="T349" t="s">
        <v>2768</v>
      </c>
      <c r="U349" t="s">
        <v>3180</v>
      </c>
      <c r="W349" t="s">
        <v>2548</v>
      </c>
      <c r="X349" t="s">
        <v>2729</v>
      </c>
    </row>
    <row r="350" spans="1:24">
      <c r="A350">
        <f>HYPERLINK("https://www.philgeps.gov.ph/GEPSNONPILOT/Tender/SplashBidNoticeAbstractUI.aspx?menuIndex=3&amp;refID=7064620&amp;Result=3","7064620")</f>
        <v>0</v>
      </c>
      <c r="B350" t="s">
        <v>158</v>
      </c>
      <c r="C350" t="s">
        <v>671</v>
      </c>
      <c r="D350" t="s">
        <v>1014</v>
      </c>
      <c r="E350" t="s">
        <v>1398</v>
      </c>
      <c r="F350" t="s">
        <v>1712</v>
      </c>
      <c r="G350" t="s">
        <v>1717</v>
      </c>
      <c r="H350" t="s">
        <v>1722</v>
      </c>
      <c r="I350" t="s">
        <v>1738</v>
      </c>
      <c r="J350" t="s">
        <v>2108</v>
      </c>
      <c r="K350" t="s">
        <v>2359</v>
      </c>
      <c r="M350" t="s">
        <v>2549</v>
      </c>
      <c r="N350" t="s">
        <v>2727</v>
      </c>
      <c r="O350" t="s">
        <v>2728</v>
      </c>
      <c r="P350">
        <v>0</v>
      </c>
      <c r="Q350">
        <v>0</v>
      </c>
      <c r="R350" t="s">
        <v>2730</v>
      </c>
      <c r="S350" t="s">
        <v>2732</v>
      </c>
      <c r="T350" t="s">
        <v>2791</v>
      </c>
      <c r="U350" t="s">
        <v>3181</v>
      </c>
      <c r="V350" t="s">
        <v>3526</v>
      </c>
      <c r="W350" t="s">
        <v>2549</v>
      </c>
      <c r="X350" t="s">
        <v>2729</v>
      </c>
    </row>
    <row r="351" spans="1:24">
      <c r="A351">
        <f>HYPERLINK("https://www.philgeps.gov.ph/GEPSNONPILOT/Tender/SplashBidNoticeAbstractUI.aspx?menuIndex=3&amp;refID=7064626&amp;Result=3","7064626")</f>
        <v>0</v>
      </c>
      <c r="B351" t="s">
        <v>159</v>
      </c>
      <c r="C351" t="s">
        <v>672</v>
      </c>
      <c r="D351" t="s">
        <v>1019</v>
      </c>
      <c r="E351" t="s">
        <v>1399</v>
      </c>
      <c r="F351" t="s">
        <v>1712</v>
      </c>
      <c r="G351" t="s">
        <v>1717</v>
      </c>
      <c r="H351" t="s">
        <v>1722</v>
      </c>
      <c r="I351" t="s">
        <v>1729</v>
      </c>
      <c r="J351" t="s">
        <v>2109</v>
      </c>
      <c r="K351" t="s">
        <v>2371</v>
      </c>
      <c r="M351" t="s">
        <v>2550</v>
      </c>
      <c r="N351" t="s">
        <v>2727</v>
      </c>
      <c r="O351" t="s">
        <v>2728</v>
      </c>
      <c r="P351">
        <v>0</v>
      </c>
      <c r="Q351">
        <v>0</v>
      </c>
      <c r="R351" t="s">
        <v>2730</v>
      </c>
      <c r="S351" t="s">
        <v>2732</v>
      </c>
      <c r="T351" t="s">
        <v>2817</v>
      </c>
      <c r="U351" t="s">
        <v>3182</v>
      </c>
      <c r="W351" t="s">
        <v>2550</v>
      </c>
      <c r="X351" t="s">
        <v>2729</v>
      </c>
    </row>
    <row r="352" spans="1:24">
      <c r="A352">
        <f>HYPERLINK("https://www.philgeps.gov.ph/GEPSNONPILOT/Tender/SplashBidNoticeAbstractUI.aspx?menuIndex=3&amp;refID=7064624&amp;Result=3","7064624")</f>
        <v>0</v>
      </c>
      <c r="B352" t="s">
        <v>160</v>
      </c>
      <c r="C352" t="s">
        <v>673</v>
      </c>
      <c r="D352" t="s">
        <v>1023</v>
      </c>
      <c r="E352" t="s">
        <v>1400</v>
      </c>
      <c r="F352" t="s">
        <v>1712</v>
      </c>
      <c r="G352" t="s">
        <v>1716</v>
      </c>
      <c r="H352" t="s">
        <v>1723</v>
      </c>
      <c r="I352" t="s">
        <v>1729</v>
      </c>
      <c r="J352" t="s">
        <v>2110</v>
      </c>
      <c r="K352" t="s">
        <v>2401</v>
      </c>
      <c r="M352" t="s">
        <v>2551</v>
      </c>
      <c r="N352" t="s">
        <v>2727</v>
      </c>
      <c r="O352" t="s">
        <v>2728</v>
      </c>
      <c r="P352">
        <v>0</v>
      </c>
      <c r="Q352">
        <v>0</v>
      </c>
      <c r="R352" t="s">
        <v>2730</v>
      </c>
      <c r="S352" t="s">
        <v>2732</v>
      </c>
      <c r="T352" t="s">
        <v>2759</v>
      </c>
      <c r="U352" t="s">
        <v>3183</v>
      </c>
      <c r="W352" t="s">
        <v>2551</v>
      </c>
      <c r="X352" t="s">
        <v>2729</v>
      </c>
    </row>
    <row r="353" spans="1:24">
      <c r="A353">
        <f>HYPERLINK("https://www.philgeps.gov.ph/GEPSNONPILOT/Tender/SplashBidNoticeAbstractUI.aspx?menuIndex=3&amp;refID=7064621&amp;Result=3","7064621")</f>
        <v>0</v>
      </c>
      <c r="B353" t="s">
        <v>161</v>
      </c>
      <c r="C353" t="s">
        <v>674</v>
      </c>
      <c r="D353" t="s">
        <v>1037</v>
      </c>
      <c r="E353" t="s">
        <v>1401</v>
      </c>
      <c r="F353" t="s">
        <v>1712</v>
      </c>
      <c r="G353" t="s">
        <v>1717</v>
      </c>
      <c r="H353" t="s">
        <v>1722</v>
      </c>
      <c r="I353" t="s">
        <v>1747</v>
      </c>
      <c r="J353" t="s">
        <v>2111</v>
      </c>
      <c r="K353" t="s">
        <v>2396</v>
      </c>
      <c r="M353" t="s">
        <v>2552</v>
      </c>
      <c r="N353" t="s">
        <v>2727</v>
      </c>
      <c r="O353" t="s">
        <v>2728</v>
      </c>
      <c r="P353">
        <v>0</v>
      </c>
      <c r="Q353">
        <v>0</v>
      </c>
      <c r="R353" t="s">
        <v>2730</v>
      </c>
      <c r="S353" t="s">
        <v>2732</v>
      </c>
      <c r="T353" t="s">
        <v>2774</v>
      </c>
      <c r="U353" t="s">
        <v>3184</v>
      </c>
      <c r="W353" t="s">
        <v>2552</v>
      </c>
      <c r="X353" t="s">
        <v>2729</v>
      </c>
    </row>
    <row r="354" spans="1:24">
      <c r="A354">
        <f>HYPERLINK("https://www.philgeps.gov.ph/GEPSNONPILOT/Tender/SplashBidNoticeAbstractUI.aspx?menuIndex=3&amp;refID=7064632&amp;Result=3","7064632")</f>
        <v>0</v>
      </c>
      <c r="B354" t="s">
        <v>162</v>
      </c>
      <c r="C354" t="s">
        <v>675</v>
      </c>
      <c r="D354" t="s">
        <v>1037</v>
      </c>
      <c r="E354" t="s">
        <v>1402</v>
      </c>
      <c r="F354" t="s">
        <v>1712</v>
      </c>
      <c r="G354" t="s">
        <v>1716</v>
      </c>
      <c r="H354" t="s">
        <v>1722</v>
      </c>
      <c r="I354" t="s">
        <v>1741</v>
      </c>
      <c r="J354" t="s">
        <v>2112</v>
      </c>
      <c r="K354" t="s">
        <v>2374</v>
      </c>
      <c r="M354" t="s">
        <v>2553</v>
      </c>
      <c r="N354" t="s">
        <v>2727</v>
      </c>
      <c r="O354" t="s">
        <v>2728</v>
      </c>
      <c r="P354">
        <v>0</v>
      </c>
      <c r="Q354">
        <v>0</v>
      </c>
      <c r="R354" t="s">
        <v>2730</v>
      </c>
      <c r="S354" t="s">
        <v>2732</v>
      </c>
      <c r="T354" t="s">
        <v>2818</v>
      </c>
      <c r="U354" t="s">
        <v>3185</v>
      </c>
      <c r="W354" t="s">
        <v>2553</v>
      </c>
      <c r="X354" t="s">
        <v>2729</v>
      </c>
    </row>
    <row r="355" spans="1:24">
      <c r="A355">
        <f>HYPERLINK("https://www.philgeps.gov.ph/GEPSNONPILOT/Tender/SplashBidNoticeAbstractUI.aspx?menuIndex=3&amp;refID=7064619&amp;Result=3","7064619")</f>
        <v>0</v>
      </c>
      <c r="B355" t="s">
        <v>163</v>
      </c>
      <c r="C355" t="s">
        <v>676</v>
      </c>
      <c r="D355" t="s">
        <v>1004</v>
      </c>
      <c r="E355" t="s">
        <v>1403</v>
      </c>
      <c r="F355" t="s">
        <v>1712</v>
      </c>
      <c r="G355" t="s">
        <v>1718</v>
      </c>
      <c r="H355" t="s">
        <v>1722</v>
      </c>
      <c r="I355" t="s">
        <v>1754</v>
      </c>
      <c r="J355" t="s">
        <v>2113</v>
      </c>
      <c r="K355" t="s">
        <v>2360</v>
      </c>
      <c r="M355" t="s">
        <v>2554</v>
      </c>
      <c r="N355" t="s">
        <v>2727</v>
      </c>
      <c r="O355" t="s">
        <v>2728</v>
      </c>
      <c r="P355">
        <v>0</v>
      </c>
      <c r="Q355">
        <v>0</v>
      </c>
      <c r="R355" t="s">
        <v>2730</v>
      </c>
      <c r="S355" t="s">
        <v>2732</v>
      </c>
      <c r="T355" t="s">
        <v>2813</v>
      </c>
      <c r="U355" t="s">
        <v>3186</v>
      </c>
      <c r="V355" t="s">
        <v>3527</v>
      </c>
      <c r="W355" t="s">
        <v>2554</v>
      </c>
      <c r="X355" t="s">
        <v>2729</v>
      </c>
    </row>
    <row r="356" spans="1:24">
      <c r="A356">
        <f>HYPERLINK("https://www.philgeps.gov.ph/GEPSNONPILOT/Tender/SplashBidNoticeAbstractUI.aspx?menuIndex=3&amp;refID=7064633&amp;Result=3","7064633")</f>
        <v>0</v>
      </c>
      <c r="B356" t="s">
        <v>164</v>
      </c>
      <c r="C356" t="s">
        <v>677</v>
      </c>
      <c r="D356" t="s">
        <v>1014</v>
      </c>
      <c r="E356" t="s">
        <v>1404</v>
      </c>
      <c r="F356" t="s">
        <v>1712</v>
      </c>
      <c r="G356" t="s">
        <v>1717</v>
      </c>
      <c r="H356" t="s">
        <v>1722</v>
      </c>
      <c r="I356" t="s">
        <v>1745</v>
      </c>
      <c r="J356" t="s">
        <v>2114</v>
      </c>
      <c r="K356" t="s">
        <v>2366</v>
      </c>
      <c r="M356" t="s">
        <v>2555</v>
      </c>
      <c r="N356" t="s">
        <v>2727</v>
      </c>
      <c r="O356" t="s">
        <v>2728</v>
      </c>
      <c r="P356">
        <v>0</v>
      </c>
      <c r="Q356">
        <v>0</v>
      </c>
      <c r="R356" t="s">
        <v>2730</v>
      </c>
      <c r="S356" t="s">
        <v>2732</v>
      </c>
      <c r="T356" t="s">
        <v>2787</v>
      </c>
      <c r="U356" t="s">
        <v>3187</v>
      </c>
      <c r="W356" t="s">
        <v>2555</v>
      </c>
      <c r="X356" t="s">
        <v>2729</v>
      </c>
    </row>
    <row r="357" spans="1:24">
      <c r="A357">
        <f>HYPERLINK("https://www.philgeps.gov.ph/GEPSNONPILOT/Tender/SplashBidNoticeAbstractUI.aspx?menuIndex=3&amp;refID=7064625&amp;Result=3","7064625")</f>
        <v>0</v>
      </c>
      <c r="B357" t="s">
        <v>164</v>
      </c>
      <c r="C357" t="s">
        <v>678</v>
      </c>
      <c r="D357" t="s">
        <v>1014</v>
      </c>
      <c r="E357" t="s">
        <v>1370</v>
      </c>
      <c r="F357" t="s">
        <v>1712</v>
      </c>
      <c r="G357" t="s">
        <v>1717</v>
      </c>
      <c r="H357" t="s">
        <v>1722</v>
      </c>
      <c r="I357" t="s">
        <v>1745</v>
      </c>
      <c r="J357" t="s">
        <v>2115</v>
      </c>
      <c r="K357" t="s">
        <v>2366</v>
      </c>
      <c r="M357" t="s">
        <v>2555</v>
      </c>
      <c r="N357" t="s">
        <v>2727</v>
      </c>
      <c r="O357" t="s">
        <v>2728</v>
      </c>
      <c r="P357">
        <v>0</v>
      </c>
      <c r="Q357">
        <v>0</v>
      </c>
      <c r="R357" t="s">
        <v>2730</v>
      </c>
      <c r="S357" t="s">
        <v>2732</v>
      </c>
      <c r="T357" t="s">
        <v>2787</v>
      </c>
      <c r="U357" t="s">
        <v>3188</v>
      </c>
      <c r="W357" t="s">
        <v>2555</v>
      </c>
      <c r="X357" t="s">
        <v>2729</v>
      </c>
    </row>
    <row r="358" spans="1:24">
      <c r="A358">
        <f>HYPERLINK("https://www.philgeps.gov.ph/GEPSNONPILOT/Tender/SplashBidNoticeAbstractUI.aspx?menuIndex=3&amp;refID=7064622&amp;Result=3","7064622")</f>
        <v>0</v>
      </c>
      <c r="B358" t="s">
        <v>157</v>
      </c>
      <c r="C358" t="s">
        <v>679</v>
      </c>
      <c r="D358" t="s">
        <v>1009</v>
      </c>
      <c r="E358" t="s">
        <v>1405</v>
      </c>
      <c r="F358" t="s">
        <v>1712</v>
      </c>
      <c r="G358" t="s">
        <v>1717</v>
      </c>
      <c r="H358" t="s">
        <v>1722</v>
      </c>
      <c r="I358" t="s">
        <v>1758</v>
      </c>
      <c r="J358" t="s">
        <v>2116</v>
      </c>
      <c r="K358" t="s">
        <v>2371</v>
      </c>
      <c r="M358" t="s">
        <v>2548</v>
      </c>
      <c r="N358" t="s">
        <v>2727</v>
      </c>
      <c r="O358" t="s">
        <v>2728</v>
      </c>
      <c r="P358">
        <v>0</v>
      </c>
      <c r="Q358">
        <v>0</v>
      </c>
      <c r="R358" t="s">
        <v>2730</v>
      </c>
      <c r="S358" t="s">
        <v>2732</v>
      </c>
      <c r="T358" t="s">
        <v>2757</v>
      </c>
      <c r="U358" t="s">
        <v>3189</v>
      </c>
      <c r="W358" t="s">
        <v>2548</v>
      </c>
      <c r="X358" t="s">
        <v>2729</v>
      </c>
    </row>
    <row r="359" spans="1:24">
      <c r="A359">
        <f>HYPERLINK("https://www.philgeps.gov.ph/GEPSNONPILOT/Tender/SplashBidNoticeAbstractUI.aspx?menuIndex=3&amp;refID=7064617&amp;Result=3","7064617")</f>
        <v>0</v>
      </c>
      <c r="B359" t="s">
        <v>146</v>
      </c>
      <c r="C359" t="s">
        <v>680</v>
      </c>
      <c r="D359" t="s">
        <v>1045</v>
      </c>
      <c r="E359" t="s">
        <v>1406</v>
      </c>
      <c r="F359" t="s">
        <v>1712</v>
      </c>
      <c r="G359" t="s">
        <v>1717</v>
      </c>
      <c r="H359" t="s">
        <v>1722</v>
      </c>
      <c r="I359" t="s">
        <v>1731</v>
      </c>
      <c r="J359" t="s">
        <v>2117</v>
      </c>
      <c r="K359" t="s">
        <v>2366</v>
      </c>
      <c r="M359" t="s">
        <v>2537</v>
      </c>
      <c r="N359" t="s">
        <v>2727</v>
      </c>
      <c r="O359" t="s">
        <v>2728</v>
      </c>
      <c r="P359">
        <v>0</v>
      </c>
      <c r="Q359">
        <v>0</v>
      </c>
      <c r="R359" t="s">
        <v>2730</v>
      </c>
      <c r="S359" t="s">
        <v>2732</v>
      </c>
      <c r="T359" t="s">
        <v>2813</v>
      </c>
      <c r="U359" t="s">
        <v>3190</v>
      </c>
      <c r="W359" t="s">
        <v>2537</v>
      </c>
      <c r="X359" t="s">
        <v>2729</v>
      </c>
    </row>
    <row r="360" spans="1:24">
      <c r="A360">
        <f>HYPERLINK("https://www.philgeps.gov.ph/GEPSNONPILOT/Tender/SplashBidNoticeAbstractUI.aspx?menuIndex=3&amp;refID=7064616&amp;Result=3","7064616")</f>
        <v>0</v>
      </c>
      <c r="B360" t="s">
        <v>145</v>
      </c>
      <c r="C360" t="s">
        <v>681</v>
      </c>
      <c r="E360" t="s">
        <v>681</v>
      </c>
      <c r="F360" t="s">
        <v>1712</v>
      </c>
      <c r="G360" t="s">
        <v>1717</v>
      </c>
      <c r="H360" t="s">
        <v>1723</v>
      </c>
      <c r="I360" t="s">
        <v>1729</v>
      </c>
      <c r="J360" t="s">
        <v>2118</v>
      </c>
      <c r="K360" t="s">
        <v>2367</v>
      </c>
      <c r="M360" t="s">
        <v>2536</v>
      </c>
      <c r="N360" t="s">
        <v>2727</v>
      </c>
      <c r="O360" t="s">
        <v>2728</v>
      </c>
      <c r="P360">
        <v>0</v>
      </c>
      <c r="Q360">
        <v>0</v>
      </c>
      <c r="R360" t="s">
        <v>2730</v>
      </c>
      <c r="S360" t="s">
        <v>2732</v>
      </c>
      <c r="T360" t="s">
        <v>2812</v>
      </c>
      <c r="U360" t="s">
        <v>3191</v>
      </c>
      <c r="W360" t="s">
        <v>2536</v>
      </c>
      <c r="X360" t="s">
        <v>2729</v>
      </c>
    </row>
    <row r="361" spans="1:24">
      <c r="A361">
        <f>HYPERLINK("https://www.philgeps.gov.ph/GEPSNONPILOT/Tender/SplashBidNoticeAbstractUI.aspx?menuIndex=3&amp;refID=7064618&amp;Result=3","7064618")</f>
        <v>0</v>
      </c>
      <c r="B361" t="s">
        <v>165</v>
      </c>
      <c r="C361" t="s">
        <v>682</v>
      </c>
      <c r="D361" t="s">
        <v>1014</v>
      </c>
      <c r="E361" t="s">
        <v>1407</v>
      </c>
      <c r="F361" t="s">
        <v>1712</v>
      </c>
      <c r="G361" t="s">
        <v>1717</v>
      </c>
      <c r="H361" t="s">
        <v>1722</v>
      </c>
      <c r="I361" t="s">
        <v>1782</v>
      </c>
      <c r="J361" t="s">
        <v>2119</v>
      </c>
      <c r="K361" t="s">
        <v>2367</v>
      </c>
      <c r="M361" t="s">
        <v>2556</v>
      </c>
      <c r="N361" t="s">
        <v>2727</v>
      </c>
      <c r="O361" t="s">
        <v>2728</v>
      </c>
      <c r="P361">
        <v>0</v>
      </c>
      <c r="Q361">
        <v>0</v>
      </c>
      <c r="R361" t="s">
        <v>2730</v>
      </c>
      <c r="S361" t="s">
        <v>2732</v>
      </c>
      <c r="T361" t="s">
        <v>2778</v>
      </c>
      <c r="U361" t="s">
        <v>3192</v>
      </c>
      <c r="W361" t="s">
        <v>3579</v>
      </c>
      <c r="X361" t="s">
        <v>2729</v>
      </c>
    </row>
    <row r="362" spans="1:24">
      <c r="A362">
        <f>HYPERLINK("https://www.philgeps.gov.ph/GEPSNONPILOT/Tender/SplashBidNoticeAbstractUI.aspx?menuIndex=3&amp;refID=7064638&amp;Result=3","7064638")</f>
        <v>0</v>
      </c>
      <c r="B362" t="s">
        <v>166</v>
      </c>
      <c r="C362" t="s">
        <v>683</v>
      </c>
      <c r="D362" t="s">
        <v>1021</v>
      </c>
      <c r="E362" t="s">
        <v>1408</v>
      </c>
      <c r="F362" t="s">
        <v>1712</v>
      </c>
      <c r="G362" t="s">
        <v>1716</v>
      </c>
      <c r="H362" t="s">
        <v>1722</v>
      </c>
      <c r="I362" t="s">
        <v>1739</v>
      </c>
      <c r="J362" t="s">
        <v>2120</v>
      </c>
      <c r="K362" t="s">
        <v>2366</v>
      </c>
      <c r="M362" t="s">
        <v>2557</v>
      </c>
      <c r="N362" t="s">
        <v>2727</v>
      </c>
      <c r="O362" t="s">
        <v>2728</v>
      </c>
      <c r="P362">
        <v>0</v>
      </c>
      <c r="Q362">
        <v>0</v>
      </c>
      <c r="R362" t="s">
        <v>2730</v>
      </c>
      <c r="S362" t="s">
        <v>2732</v>
      </c>
      <c r="T362" t="s">
        <v>2757</v>
      </c>
      <c r="U362" t="s">
        <v>3193</v>
      </c>
      <c r="V362" t="s">
        <v>3528</v>
      </c>
      <c r="W362" t="s">
        <v>2557</v>
      </c>
      <c r="X362" t="s">
        <v>2729</v>
      </c>
    </row>
    <row r="363" spans="1:24">
      <c r="A363">
        <f>HYPERLINK("https://www.philgeps.gov.ph/GEPSNONPILOT/Tender/SplashBidNoticeAbstractUI.aspx?menuIndex=3&amp;refID=7064645&amp;Result=3","7064645")</f>
        <v>0</v>
      </c>
      <c r="B363" t="s">
        <v>167</v>
      </c>
      <c r="C363" t="s">
        <v>684</v>
      </c>
      <c r="D363" t="s">
        <v>993</v>
      </c>
      <c r="E363" t="s">
        <v>1409</v>
      </c>
      <c r="F363" t="s">
        <v>1712</v>
      </c>
      <c r="G363" t="s">
        <v>1717</v>
      </c>
      <c r="H363" t="s">
        <v>1722</v>
      </c>
      <c r="I363" t="s">
        <v>1772</v>
      </c>
      <c r="J363" t="s">
        <v>2121</v>
      </c>
      <c r="K363" t="s">
        <v>2360</v>
      </c>
      <c r="M363" t="s">
        <v>2558</v>
      </c>
      <c r="N363" t="s">
        <v>2727</v>
      </c>
      <c r="O363" t="s">
        <v>2728</v>
      </c>
      <c r="P363">
        <v>0</v>
      </c>
      <c r="Q363">
        <v>1</v>
      </c>
      <c r="R363" t="s">
        <v>2730</v>
      </c>
      <c r="S363" t="s">
        <v>2732</v>
      </c>
      <c r="T363" t="s">
        <v>2749</v>
      </c>
      <c r="U363" t="s">
        <v>3194</v>
      </c>
      <c r="W363" t="s">
        <v>2558</v>
      </c>
      <c r="X363" t="s">
        <v>2729</v>
      </c>
    </row>
    <row r="364" spans="1:24">
      <c r="A364">
        <f>HYPERLINK("https://www.philgeps.gov.ph/GEPSNONPILOT/Tender/SplashBidNoticeAbstractUI.aspx?menuIndex=3&amp;refID=7064643&amp;Result=3","7064643")</f>
        <v>0</v>
      </c>
      <c r="B364" t="s">
        <v>168</v>
      </c>
      <c r="C364" t="s">
        <v>685</v>
      </c>
      <c r="D364" t="s">
        <v>1048</v>
      </c>
      <c r="E364" t="s">
        <v>1410</v>
      </c>
      <c r="F364" t="s">
        <v>1712</v>
      </c>
      <c r="G364" t="s">
        <v>1717</v>
      </c>
      <c r="H364" t="s">
        <v>1722</v>
      </c>
      <c r="I364" t="s">
        <v>1730</v>
      </c>
      <c r="J364" t="s">
        <v>2122</v>
      </c>
      <c r="K364" t="s">
        <v>2366</v>
      </c>
      <c r="M364" t="s">
        <v>2559</v>
      </c>
      <c r="N364" t="s">
        <v>2727</v>
      </c>
      <c r="O364" t="s">
        <v>2728</v>
      </c>
      <c r="P364">
        <v>0</v>
      </c>
      <c r="Q364">
        <v>0</v>
      </c>
      <c r="R364" t="s">
        <v>2730</v>
      </c>
      <c r="S364" t="s">
        <v>2732</v>
      </c>
      <c r="T364" t="s">
        <v>2819</v>
      </c>
      <c r="U364" t="s">
        <v>3195</v>
      </c>
      <c r="W364" t="s">
        <v>3580</v>
      </c>
      <c r="X364" t="s">
        <v>2729</v>
      </c>
    </row>
    <row r="365" spans="1:24">
      <c r="A365">
        <f>HYPERLINK("https://www.philgeps.gov.ph/GEPSNONPILOT/Tender/SplashBidNoticeAbstractUI.aspx?menuIndex=3&amp;refID=7064637&amp;Result=3","7064637")</f>
        <v>0</v>
      </c>
      <c r="B365" t="s">
        <v>169</v>
      </c>
      <c r="C365" t="s">
        <v>686</v>
      </c>
      <c r="D365" t="s">
        <v>1049</v>
      </c>
      <c r="E365" t="s">
        <v>1411</v>
      </c>
      <c r="F365" t="s">
        <v>1712</v>
      </c>
      <c r="G365" t="s">
        <v>1716</v>
      </c>
      <c r="H365" t="s">
        <v>1722</v>
      </c>
      <c r="I365" t="s">
        <v>1743</v>
      </c>
      <c r="J365" t="s">
        <v>2123</v>
      </c>
      <c r="K365" t="s">
        <v>2358</v>
      </c>
      <c r="M365" t="s">
        <v>2560</v>
      </c>
      <c r="N365" t="s">
        <v>2727</v>
      </c>
      <c r="O365" t="s">
        <v>2728</v>
      </c>
      <c r="P365">
        <v>0</v>
      </c>
      <c r="Q365">
        <v>0</v>
      </c>
      <c r="R365" t="s">
        <v>2730</v>
      </c>
      <c r="S365" t="s">
        <v>2732</v>
      </c>
      <c r="T365" t="s">
        <v>2757</v>
      </c>
      <c r="U365" t="s">
        <v>3196</v>
      </c>
      <c r="W365" t="s">
        <v>2560</v>
      </c>
      <c r="X365" t="s">
        <v>2729</v>
      </c>
    </row>
    <row r="366" spans="1:24">
      <c r="A366">
        <f>HYPERLINK("https://www.philgeps.gov.ph/GEPSNONPILOT/Tender/SplashBidNoticeAbstractUI.aspx?menuIndex=3&amp;refID=7064639&amp;Result=3","7064639")</f>
        <v>0</v>
      </c>
      <c r="B366" t="s">
        <v>158</v>
      </c>
      <c r="C366" t="s">
        <v>687</v>
      </c>
      <c r="D366" t="s">
        <v>1014</v>
      </c>
      <c r="E366" t="s">
        <v>1412</v>
      </c>
      <c r="F366" t="s">
        <v>1712</v>
      </c>
      <c r="G366" t="s">
        <v>1717</v>
      </c>
      <c r="H366" t="s">
        <v>1722</v>
      </c>
      <c r="I366" t="s">
        <v>1738</v>
      </c>
      <c r="J366" t="s">
        <v>2020</v>
      </c>
      <c r="K366" t="s">
        <v>2371</v>
      </c>
      <c r="M366" t="s">
        <v>2549</v>
      </c>
      <c r="N366" t="s">
        <v>2727</v>
      </c>
      <c r="O366" t="s">
        <v>2728</v>
      </c>
      <c r="P366">
        <v>0</v>
      </c>
      <c r="Q366">
        <v>0</v>
      </c>
      <c r="R366" t="s">
        <v>2730</v>
      </c>
      <c r="S366" t="s">
        <v>2732</v>
      </c>
      <c r="T366" t="s">
        <v>2791</v>
      </c>
      <c r="U366" t="s">
        <v>3181</v>
      </c>
      <c r="V366" t="s">
        <v>3526</v>
      </c>
      <c r="W366" t="s">
        <v>2549</v>
      </c>
      <c r="X366" t="s">
        <v>2729</v>
      </c>
    </row>
    <row r="367" spans="1:24">
      <c r="A367">
        <f>HYPERLINK("https://www.philgeps.gov.ph/GEPSNONPILOT/Tender/SplashBidNoticeAbstractUI.aspx?menuIndex=3&amp;refID=7064641&amp;Result=3","7064641")</f>
        <v>0</v>
      </c>
      <c r="B367" t="s">
        <v>170</v>
      </c>
      <c r="C367" t="s">
        <v>688</v>
      </c>
      <c r="E367" t="s">
        <v>1413</v>
      </c>
      <c r="F367" t="s">
        <v>1712</v>
      </c>
      <c r="G367" t="s">
        <v>1717</v>
      </c>
      <c r="H367" t="s">
        <v>1722</v>
      </c>
      <c r="I367" t="s">
        <v>1732</v>
      </c>
      <c r="J367" t="s">
        <v>1815</v>
      </c>
      <c r="K367" t="s">
        <v>2367</v>
      </c>
      <c r="M367" t="s">
        <v>2561</v>
      </c>
      <c r="N367" t="s">
        <v>2727</v>
      </c>
      <c r="O367" t="s">
        <v>2728</v>
      </c>
      <c r="P367">
        <v>0</v>
      </c>
      <c r="Q367">
        <v>0</v>
      </c>
      <c r="R367" t="s">
        <v>2730</v>
      </c>
      <c r="S367" t="s">
        <v>2732</v>
      </c>
      <c r="T367" t="s">
        <v>2820</v>
      </c>
      <c r="U367" t="s">
        <v>3197</v>
      </c>
      <c r="W367" t="s">
        <v>2561</v>
      </c>
      <c r="X367" t="s">
        <v>2729</v>
      </c>
    </row>
    <row r="368" spans="1:24">
      <c r="A368">
        <f>HYPERLINK("https://www.philgeps.gov.ph/GEPSNONPILOT/Tender/SplashBidNoticeAbstractUI.aspx?menuIndex=3&amp;refID=7064644&amp;Result=3","7064644")</f>
        <v>0</v>
      </c>
      <c r="B368" t="s">
        <v>166</v>
      </c>
      <c r="C368" t="s">
        <v>689</v>
      </c>
      <c r="D368" t="s">
        <v>1021</v>
      </c>
      <c r="E368" t="s">
        <v>1414</v>
      </c>
      <c r="F368" t="s">
        <v>1712</v>
      </c>
      <c r="G368" t="s">
        <v>1716</v>
      </c>
      <c r="H368" t="s">
        <v>1722</v>
      </c>
      <c r="I368" t="s">
        <v>1732</v>
      </c>
      <c r="J368" t="s">
        <v>2124</v>
      </c>
      <c r="K368" t="s">
        <v>2366</v>
      </c>
      <c r="M368" t="s">
        <v>2557</v>
      </c>
      <c r="N368" t="s">
        <v>2727</v>
      </c>
      <c r="O368" t="s">
        <v>2728</v>
      </c>
      <c r="P368">
        <v>0</v>
      </c>
      <c r="Q368">
        <v>0</v>
      </c>
      <c r="R368" t="s">
        <v>2730</v>
      </c>
      <c r="S368" t="s">
        <v>2732</v>
      </c>
      <c r="T368" t="s">
        <v>2757</v>
      </c>
      <c r="U368" t="s">
        <v>3193</v>
      </c>
      <c r="V368" t="s">
        <v>3528</v>
      </c>
      <c r="W368" t="s">
        <v>2557</v>
      </c>
      <c r="X368" t="s">
        <v>2729</v>
      </c>
    </row>
    <row r="369" spans="1:24">
      <c r="A369">
        <f>HYPERLINK("https://www.philgeps.gov.ph/GEPSNONPILOT/Tender/SplashBidNoticeAbstractUI.aspx?menuIndex=3&amp;refID=7064640&amp;Result=3","7064640")</f>
        <v>0</v>
      </c>
      <c r="B369" t="s">
        <v>164</v>
      </c>
      <c r="C369" t="s">
        <v>690</v>
      </c>
      <c r="D369" t="s">
        <v>1014</v>
      </c>
      <c r="E369" t="s">
        <v>1415</v>
      </c>
      <c r="F369" t="s">
        <v>1712</v>
      </c>
      <c r="G369" t="s">
        <v>1717</v>
      </c>
      <c r="H369" t="s">
        <v>1722</v>
      </c>
      <c r="I369" t="s">
        <v>1745</v>
      </c>
      <c r="J369" t="s">
        <v>2125</v>
      </c>
      <c r="K369" t="s">
        <v>2366</v>
      </c>
      <c r="M369" t="s">
        <v>2555</v>
      </c>
      <c r="N369" t="s">
        <v>2727</v>
      </c>
      <c r="O369" t="s">
        <v>2728</v>
      </c>
      <c r="P369">
        <v>0</v>
      </c>
      <c r="Q369">
        <v>1</v>
      </c>
      <c r="R369" t="s">
        <v>2730</v>
      </c>
      <c r="S369" t="s">
        <v>2732</v>
      </c>
      <c r="T369" t="s">
        <v>2787</v>
      </c>
      <c r="U369" t="s">
        <v>3198</v>
      </c>
      <c r="W369" t="s">
        <v>2555</v>
      </c>
      <c r="X369" t="s">
        <v>2729</v>
      </c>
    </row>
    <row r="370" spans="1:24">
      <c r="A370">
        <f>HYPERLINK("https://www.philgeps.gov.ph/GEPSNONPILOT/Tender/SplashBidNoticeAbstractUI.aspx?menuIndex=3&amp;refID=7064642&amp;Result=3","7064642")</f>
        <v>0</v>
      </c>
      <c r="B370" t="s">
        <v>152</v>
      </c>
      <c r="C370" t="s">
        <v>691</v>
      </c>
      <c r="D370" t="s">
        <v>1043</v>
      </c>
      <c r="E370" t="s">
        <v>1416</v>
      </c>
      <c r="F370" t="s">
        <v>1712</v>
      </c>
      <c r="G370" t="s">
        <v>1717</v>
      </c>
      <c r="H370" t="s">
        <v>1722</v>
      </c>
      <c r="I370" t="s">
        <v>1730</v>
      </c>
      <c r="J370" t="s">
        <v>2126</v>
      </c>
      <c r="K370" t="s">
        <v>2371</v>
      </c>
      <c r="M370" t="s">
        <v>2543</v>
      </c>
      <c r="N370" t="s">
        <v>2727</v>
      </c>
      <c r="O370" t="s">
        <v>2728</v>
      </c>
      <c r="P370">
        <v>0</v>
      </c>
      <c r="Q370">
        <v>0</v>
      </c>
      <c r="R370" t="s">
        <v>2730</v>
      </c>
      <c r="S370" t="s">
        <v>2732</v>
      </c>
      <c r="T370" t="s">
        <v>2749</v>
      </c>
      <c r="U370" t="s">
        <v>3199</v>
      </c>
      <c r="W370" t="s">
        <v>2543</v>
      </c>
      <c r="X370" t="s">
        <v>2729</v>
      </c>
    </row>
    <row r="371" spans="1:24">
      <c r="A371">
        <f>HYPERLINK("https://www.philgeps.gov.ph/GEPSNONPILOT/Tender/SplashBidNoticeAbstractUI.aspx?menuIndex=3&amp;refID=7064659&amp;Result=3","7064659")</f>
        <v>0</v>
      </c>
      <c r="B371" t="s">
        <v>161</v>
      </c>
      <c r="C371" t="s">
        <v>692</v>
      </c>
      <c r="E371" t="s">
        <v>1417</v>
      </c>
      <c r="F371" t="s">
        <v>1712</v>
      </c>
      <c r="G371" t="s">
        <v>1717</v>
      </c>
      <c r="H371" t="s">
        <v>1722</v>
      </c>
      <c r="I371" t="s">
        <v>1768</v>
      </c>
      <c r="J371" t="s">
        <v>2127</v>
      </c>
      <c r="K371" t="s">
        <v>2359</v>
      </c>
      <c r="M371" t="s">
        <v>2552</v>
      </c>
      <c r="N371" t="s">
        <v>2727</v>
      </c>
      <c r="O371" t="s">
        <v>2728</v>
      </c>
      <c r="P371">
        <v>0</v>
      </c>
      <c r="Q371">
        <v>0</v>
      </c>
      <c r="R371" t="s">
        <v>2730</v>
      </c>
      <c r="S371" t="s">
        <v>2732</v>
      </c>
      <c r="T371" t="s">
        <v>2774</v>
      </c>
      <c r="U371" t="s">
        <v>3200</v>
      </c>
      <c r="W371" t="s">
        <v>2552</v>
      </c>
      <c r="X371" t="s">
        <v>2729</v>
      </c>
    </row>
    <row r="372" spans="1:24">
      <c r="A372">
        <f>HYPERLINK("https://www.philgeps.gov.ph/GEPSNONPILOT/Tender/SplashBidNoticeAbstractUI.aspx?menuIndex=3&amp;refID=7064657&amp;Result=3","7064657")</f>
        <v>0</v>
      </c>
      <c r="B372" t="s">
        <v>171</v>
      </c>
      <c r="C372" t="s">
        <v>693</v>
      </c>
      <c r="E372" t="s">
        <v>1418</v>
      </c>
      <c r="F372" t="s">
        <v>1712</v>
      </c>
      <c r="G372" t="s">
        <v>1716</v>
      </c>
      <c r="H372" t="s">
        <v>1723</v>
      </c>
      <c r="I372" t="s">
        <v>1729</v>
      </c>
      <c r="J372" t="s">
        <v>2128</v>
      </c>
      <c r="K372" t="s">
        <v>2367</v>
      </c>
      <c r="M372" t="s">
        <v>2562</v>
      </c>
      <c r="N372" t="s">
        <v>2727</v>
      </c>
      <c r="O372" t="s">
        <v>2728</v>
      </c>
      <c r="P372">
        <v>0</v>
      </c>
      <c r="Q372">
        <v>0</v>
      </c>
      <c r="R372" t="s">
        <v>2730</v>
      </c>
      <c r="S372" t="s">
        <v>2732</v>
      </c>
      <c r="T372" t="s">
        <v>2821</v>
      </c>
      <c r="U372" t="s">
        <v>3201</v>
      </c>
      <c r="V372" t="s">
        <v>3529</v>
      </c>
      <c r="W372" t="s">
        <v>2562</v>
      </c>
      <c r="X372" t="s">
        <v>2729</v>
      </c>
    </row>
    <row r="373" spans="1:24">
      <c r="A373">
        <f>HYPERLINK("https://www.philgeps.gov.ph/GEPSNONPILOT/Tender/SplashBidNoticeAbstractUI.aspx?menuIndex=3&amp;refID=7064658&amp;Result=3","7064658")</f>
        <v>0</v>
      </c>
      <c r="B373" t="s">
        <v>172</v>
      </c>
      <c r="C373" t="s">
        <v>694</v>
      </c>
      <c r="D373" t="s">
        <v>1037</v>
      </c>
      <c r="E373" t="s">
        <v>1419</v>
      </c>
      <c r="F373" t="s">
        <v>1712</v>
      </c>
      <c r="G373" t="s">
        <v>1716</v>
      </c>
      <c r="H373" t="s">
        <v>1722</v>
      </c>
      <c r="I373" t="s">
        <v>1727</v>
      </c>
      <c r="J373" t="s">
        <v>2129</v>
      </c>
      <c r="K373" t="s">
        <v>2359</v>
      </c>
      <c r="M373" t="s">
        <v>2563</v>
      </c>
      <c r="N373" t="s">
        <v>2727</v>
      </c>
      <c r="O373" t="s">
        <v>2728</v>
      </c>
      <c r="P373">
        <v>0</v>
      </c>
      <c r="Q373">
        <v>0</v>
      </c>
      <c r="R373" t="s">
        <v>2730</v>
      </c>
      <c r="S373" t="s">
        <v>2732</v>
      </c>
      <c r="T373" t="s">
        <v>2822</v>
      </c>
      <c r="U373" t="s">
        <v>3202</v>
      </c>
      <c r="W373" t="s">
        <v>2563</v>
      </c>
      <c r="X373" t="s">
        <v>2729</v>
      </c>
    </row>
    <row r="374" spans="1:24">
      <c r="A374">
        <f>HYPERLINK("https://www.philgeps.gov.ph/GEPSNONPILOT/Tender/SplashBidNoticeAbstractUI.aspx?menuIndex=3&amp;refID=7064648&amp;Result=3","7064648")</f>
        <v>0</v>
      </c>
      <c r="B374" t="s">
        <v>166</v>
      </c>
      <c r="C374" t="s">
        <v>695</v>
      </c>
      <c r="D374" t="s">
        <v>1021</v>
      </c>
      <c r="E374" t="s">
        <v>1420</v>
      </c>
      <c r="F374" t="s">
        <v>1712</v>
      </c>
      <c r="G374" t="s">
        <v>1716</v>
      </c>
      <c r="H374" t="s">
        <v>1722</v>
      </c>
      <c r="I374" t="s">
        <v>1758</v>
      </c>
      <c r="J374" t="s">
        <v>2130</v>
      </c>
      <c r="K374" t="s">
        <v>2366</v>
      </c>
      <c r="M374" t="s">
        <v>2557</v>
      </c>
      <c r="N374" t="s">
        <v>2727</v>
      </c>
      <c r="O374" t="s">
        <v>2728</v>
      </c>
      <c r="P374">
        <v>0</v>
      </c>
      <c r="Q374">
        <v>0</v>
      </c>
      <c r="R374" t="s">
        <v>2730</v>
      </c>
      <c r="S374" t="s">
        <v>2732</v>
      </c>
      <c r="T374" t="s">
        <v>2757</v>
      </c>
      <c r="U374" t="s">
        <v>3193</v>
      </c>
      <c r="V374" t="s">
        <v>3528</v>
      </c>
      <c r="W374" t="s">
        <v>2557</v>
      </c>
      <c r="X374" t="s">
        <v>2729</v>
      </c>
    </row>
    <row r="375" spans="1:24">
      <c r="A375">
        <f>HYPERLINK("https://www.philgeps.gov.ph/GEPSNONPILOT/Tender/SplashBidNoticeAbstractUI.aspx?menuIndex=3&amp;refID=7064651&amp;Result=3","7064651")</f>
        <v>0</v>
      </c>
      <c r="B375" t="s">
        <v>173</v>
      </c>
      <c r="C375" t="s">
        <v>696</v>
      </c>
      <c r="D375" t="s">
        <v>1050</v>
      </c>
      <c r="E375" t="s">
        <v>1421</v>
      </c>
      <c r="F375" t="s">
        <v>1712</v>
      </c>
      <c r="G375" t="s">
        <v>1718</v>
      </c>
      <c r="H375" t="s">
        <v>1722</v>
      </c>
      <c r="I375" t="s">
        <v>1754</v>
      </c>
      <c r="J375" t="s">
        <v>2131</v>
      </c>
      <c r="K375" t="s">
        <v>2371</v>
      </c>
      <c r="M375" t="s">
        <v>2564</v>
      </c>
      <c r="N375" t="s">
        <v>2727</v>
      </c>
      <c r="O375" t="s">
        <v>2728</v>
      </c>
      <c r="P375">
        <v>0</v>
      </c>
      <c r="Q375">
        <v>0</v>
      </c>
      <c r="R375" t="s">
        <v>2730</v>
      </c>
      <c r="S375" t="s">
        <v>2732</v>
      </c>
      <c r="T375" t="s">
        <v>2823</v>
      </c>
      <c r="U375" t="s">
        <v>3203</v>
      </c>
      <c r="W375" t="s">
        <v>2564</v>
      </c>
      <c r="X375" t="s">
        <v>2729</v>
      </c>
    </row>
    <row r="376" spans="1:24">
      <c r="A376">
        <f>HYPERLINK("https://www.philgeps.gov.ph/GEPSNONPILOT/Tender/SplashBidNoticeAbstractUI.aspx?menuIndex=3&amp;refID=7064647&amp;Result=3","7064647")</f>
        <v>0</v>
      </c>
      <c r="B376" t="s">
        <v>174</v>
      </c>
      <c r="C376" t="s">
        <v>697</v>
      </c>
      <c r="D376" t="s">
        <v>999</v>
      </c>
      <c r="E376" t="s">
        <v>1422</v>
      </c>
      <c r="F376" t="s">
        <v>1712</v>
      </c>
      <c r="G376" t="s">
        <v>1717</v>
      </c>
      <c r="H376" t="s">
        <v>1722</v>
      </c>
      <c r="I376" t="s">
        <v>1758</v>
      </c>
      <c r="J376" t="s">
        <v>2085</v>
      </c>
      <c r="K376" t="s">
        <v>2371</v>
      </c>
      <c r="M376" t="s">
        <v>2565</v>
      </c>
      <c r="N376" t="s">
        <v>2727</v>
      </c>
      <c r="O376" t="s">
        <v>2728</v>
      </c>
      <c r="P376">
        <v>0</v>
      </c>
      <c r="Q376">
        <v>0</v>
      </c>
      <c r="R376" t="s">
        <v>2730</v>
      </c>
      <c r="S376" t="s">
        <v>2732</v>
      </c>
      <c r="T376" t="s">
        <v>2800</v>
      </c>
      <c r="U376" t="s">
        <v>3204</v>
      </c>
      <c r="V376" t="s">
        <v>3530</v>
      </c>
      <c r="W376" t="s">
        <v>2565</v>
      </c>
      <c r="X376" t="s">
        <v>2729</v>
      </c>
    </row>
    <row r="377" spans="1:24">
      <c r="A377">
        <f>HYPERLINK("https://www.philgeps.gov.ph/GEPSNONPILOT/Tender/SplashBidNoticeAbstractUI.aspx?menuIndex=3&amp;refID=7064650&amp;Result=3","7064650")</f>
        <v>0</v>
      </c>
      <c r="B377" t="s">
        <v>175</v>
      </c>
      <c r="C377" t="s">
        <v>698</v>
      </c>
      <c r="D377" t="s">
        <v>995</v>
      </c>
      <c r="E377" t="s">
        <v>1423</v>
      </c>
      <c r="F377" t="s">
        <v>1712</v>
      </c>
      <c r="G377" t="s">
        <v>1717</v>
      </c>
      <c r="H377" t="s">
        <v>1722</v>
      </c>
      <c r="I377" t="s">
        <v>1727</v>
      </c>
      <c r="J377" t="s">
        <v>2132</v>
      </c>
      <c r="K377" t="s">
        <v>2358</v>
      </c>
      <c r="M377" t="s">
        <v>2566</v>
      </c>
      <c r="N377" t="s">
        <v>2727</v>
      </c>
      <c r="O377" t="s">
        <v>2728</v>
      </c>
      <c r="P377">
        <v>0</v>
      </c>
      <c r="Q377">
        <v>0</v>
      </c>
      <c r="R377" t="s">
        <v>2730</v>
      </c>
      <c r="S377" t="s">
        <v>2732</v>
      </c>
      <c r="T377" t="s">
        <v>2749</v>
      </c>
      <c r="U377" t="s">
        <v>3205</v>
      </c>
      <c r="W377" t="s">
        <v>2566</v>
      </c>
      <c r="X377" t="s">
        <v>2729</v>
      </c>
    </row>
    <row r="378" spans="1:24">
      <c r="A378">
        <f>HYPERLINK("https://www.philgeps.gov.ph/GEPSNONPILOT/Tender/SplashBidNoticeAbstractUI.aspx?menuIndex=3&amp;refID=7064652&amp;Result=3","7064652")</f>
        <v>0</v>
      </c>
      <c r="B378" t="s">
        <v>176</v>
      </c>
      <c r="C378" t="s">
        <v>699</v>
      </c>
      <c r="D378" t="s">
        <v>996</v>
      </c>
      <c r="E378" t="s">
        <v>1424</v>
      </c>
      <c r="F378" t="s">
        <v>1712</v>
      </c>
      <c r="G378" t="s">
        <v>1718</v>
      </c>
      <c r="H378" t="s">
        <v>1722</v>
      </c>
      <c r="I378" t="s">
        <v>1783</v>
      </c>
      <c r="J378" t="s">
        <v>2133</v>
      </c>
      <c r="K378" t="s">
        <v>2360</v>
      </c>
      <c r="M378" t="s">
        <v>2567</v>
      </c>
      <c r="N378" t="s">
        <v>2727</v>
      </c>
      <c r="O378" t="s">
        <v>2728</v>
      </c>
      <c r="P378">
        <v>0</v>
      </c>
      <c r="Q378">
        <v>0</v>
      </c>
      <c r="R378" t="s">
        <v>2730</v>
      </c>
      <c r="S378" t="s">
        <v>2732</v>
      </c>
      <c r="T378" t="s">
        <v>2774</v>
      </c>
      <c r="U378" t="s">
        <v>3206</v>
      </c>
      <c r="W378" t="s">
        <v>2567</v>
      </c>
      <c r="X378" t="s">
        <v>2729</v>
      </c>
    </row>
    <row r="379" spans="1:24">
      <c r="A379">
        <f>HYPERLINK("https://www.philgeps.gov.ph/GEPSNONPILOT/Tender/SplashBidNoticeAbstractUI.aspx?menuIndex=3&amp;refID=7064660&amp;Result=3","7064660")</f>
        <v>0</v>
      </c>
      <c r="B379" t="s">
        <v>177</v>
      </c>
      <c r="C379" t="s">
        <v>700</v>
      </c>
      <c r="E379" t="s">
        <v>1078</v>
      </c>
      <c r="F379" t="s">
        <v>1712</v>
      </c>
      <c r="G379" t="s">
        <v>1716</v>
      </c>
      <c r="H379" t="s">
        <v>1722</v>
      </c>
      <c r="I379" t="s">
        <v>1727</v>
      </c>
      <c r="J379" t="s">
        <v>2134</v>
      </c>
      <c r="K379" t="s">
        <v>2371</v>
      </c>
      <c r="M379" t="s">
        <v>2568</v>
      </c>
      <c r="N379" t="s">
        <v>2727</v>
      </c>
      <c r="O379" t="s">
        <v>2728</v>
      </c>
      <c r="P379">
        <v>0</v>
      </c>
      <c r="Q379">
        <v>0</v>
      </c>
      <c r="R379" t="s">
        <v>2730</v>
      </c>
      <c r="S379" t="s">
        <v>2732</v>
      </c>
      <c r="T379" t="s">
        <v>2739</v>
      </c>
      <c r="U379" t="s">
        <v>3207</v>
      </c>
      <c r="V379" t="s">
        <v>3531</v>
      </c>
      <c r="W379" t="s">
        <v>2568</v>
      </c>
      <c r="X379" t="s">
        <v>2729</v>
      </c>
    </row>
    <row r="380" spans="1:24">
      <c r="A380">
        <f>HYPERLINK("https://www.philgeps.gov.ph/GEPSNONPILOT/Tender/SplashBidNoticeAbstractUI.aspx?menuIndex=3&amp;refID=7064654&amp;Result=3","7064654")</f>
        <v>0</v>
      </c>
      <c r="B380" t="s">
        <v>166</v>
      </c>
      <c r="C380" t="s">
        <v>701</v>
      </c>
      <c r="D380" t="s">
        <v>1021</v>
      </c>
      <c r="E380" t="s">
        <v>1425</v>
      </c>
      <c r="F380" t="s">
        <v>1712</v>
      </c>
      <c r="G380" t="s">
        <v>1716</v>
      </c>
      <c r="H380" t="s">
        <v>1722</v>
      </c>
      <c r="I380" t="s">
        <v>1739</v>
      </c>
      <c r="J380" t="s">
        <v>2135</v>
      </c>
      <c r="K380" t="s">
        <v>2366</v>
      </c>
      <c r="M380" t="s">
        <v>2557</v>
      </c>
      <c r="N380" t="s">
        <v>2727</v>
      </c>
      <c r="O380" t="s">
        <v>2728</v>
      </c>
      <c r="P380">
        <v>0</v>
      </c>
      <c r="Q380">
        <v>0</v>
      </c>
      <c r="R380" t="s">
        <v>2730</v>
      </c>
      <c r="S380" t="s">
        <v>2732</v>
      </c>
      <c r="T380" t="s">
        <v>2757</v>
      </c>
      <c r="U380" t="s">
        <v>3193</v>
      </c>
      <c r="V380" t="s">
        <v>3528</v>
      </c>
      <c r="W380" t="s">
        <v>2557</v>
      </c>
      <c r="X380" t="s">
        <v>2729</v>
      </c>
    </row>
    <row r="381" spans="1:24">
      <c r="A381">
        <f>HYPERLINK("https://www.philgeps.gov.ph/GEPSNONPILOT/Tender/SplashBidNoticeAbstractUI.aspx?menuIndex=3&amp;refID=7064646&amp;Result=3","7064646")</f>
        <v>0</v>
      </c>
      <c r="B381" t="s">
        <v>153</v>
      </c>
      <c r="C381" t="s">
        <v>702</v>
      </c>
      <c r="D381" t="s">
        <v>1033</v>
      </c>
      <c r="E381" t="s">
        <v>1426</v>
      </c>
      <c r="F381" t="s">
        <v>1712</v>
      </c>
      <c r="G381" t="s">
        <v>1718</v>
      </c>
      <c r="H381" t="s">
        <v>1722</v>
      </c>
      <c r="I381" t="s">
        <v>1758</v>
      </c>
      <c r="J381" t="s">
        <v>2136</v>
      </c>
      <c r="K381" t="s">
        <v>2372</v>
      </c>
      <c r="M381" t="s">
        <v>2544</v>
      </c>
      <c r="N381" t="s">
        <v>2727</v>
      </c>
      <c r="O381" t="s">
        <v>2728</v>
      </c>
      <c r="P381">
        <v>0</v>
      </c>
      <c r="Q381">
        <v>0</v>
      </c>
      <c r="R381" t="s">
        <v>2730</v>
      </c>
      <c r="S381" t="s">
        <v>2732</v>
      </c>
      <c r="T381" t="s">
        <v>2746</v>
      </c>
      <c r="U381" t="s">
        <v>3208</v>
      </c>
      <c r="W381" t="s">
        <v>2544</v>
      </c>
      <c r="X381" t="s">
        <v>2729</v>
      </c>
    </row>
    <row r="382" spans="1:24">
      <c r="A382">
        <f>HYPERLINK("https://www.philgeps.gov.ph/GEPSNONPILOT/Tender/SplashBidNoticeAbstractUI.aspx?menuIndex=3&amp;refID=7064668&amp;Result=3","7064668")</f>
        <v>0</v>
      </c>
      <c r="B382" t="s">
        <v>178</v>
      </c>
      <c r="C382" t="s">
        <v>703</v>
      </c>
      <c r="D382" t="s">
        <v>1004</v>
      </c>
      <c r="E382" t="s">
        <v>1427</v>
      </c>
      <c r="F382" t="s">
        <v>1712</v>
      </c>
      <c r="G382" t="s">
        <v>1716</v>
      </c>
      <c r="H382" t="s">
        <v>1722</v>
      </c>
      <c r="I382" t="s">
        <v>1750</v>
      </c>
      <c r="J382" t="s">
        <v>1849</v>
      </c>
      <c r="K382" t="s">
        <v>2358</v>
      </c>
      <c r="M382" t="s">
        <v>2569</v>
      </c>
      <c r="N382" t="s">
        <v>2727</v>
      </c>
      <c r="O382" t="s">
        <v>2728</v>
      </c>
      <c r="P382">
        <v>0</v>
      </c>
      <c r="Q382">
        <v>0</v>
      </c>
      <c r="R382" t="s">
        <v>2730</v>
      </c>
      <c r="S382" t="s">
        <v>2732</v>
      </c>
      <c r="T382" t="s">
        <v>2771</v>
      </c>
      <c r="U382" t="s">
        <v>3209</v>
      </c>
      <c r="W382" t="s">
        <v>2569</v>
      </c>
      <c r="X382" t="s">
        <v>2729</v>
      </c>
    </row>
    <row r="383" spans="1:24">
      <c r="A383">
        <f>HYPERLINK("https://www.philgeps.gov.ph/GEPSNONPILOT/Tender/SplashBidNoticeAbstractUI.aspx?menuIndex=3&amp;refID=7064667&amp;Result=3","7064667")</f>
        <v>0</v>
      </c>
      <c r="B383" t="s">
        <v>179</v>
      </c>
      <c r="C383" t="s">
        <v>704</v>
      </c>
      <c r="D383" t="s">
        <v>1001</v>
      </c>
      <c r="E383" t="s">
        <v>1428</v>
      </c>
      <c r="F383" t="s">
        <v>1712</v>
      </c>
      <c r="G383" t="s">
        <v>1716</v>
      </c>
      <c r="H383" t="s">
        <v>1722</v>
      </c>
      <c r="I383" t="s">
        <v>1784</v>
      </c>
      <c r="J383" t="s">
        <v>2137</v>
      </c>
      <c r="K383" t="s">
        <v>2358</v>
      </c>
      <c r="M383" t="s">
        <v>2570</v>
      </c>
      <c r="N383" t="s">
        <v>2727</v>
      </c>
      <c r="O383" t="s">
        <v>2728</v>
      </c>
      <c r="P383">
        <v>0</v>
      </c>
      <c r="Q383">
        <v>0</v>
      </c>
      <c r="R383" t="s">
        <v>2730</v>
      </c>
      <c r="S383" t="s">
        <v>2732</v>
      </c>
      <c r="T383" t="s">
        <v>2747</v>
      </c>
      <c r="U383" t="s">
        <v>3210</v>
      </c>
      <c r="V383" t="s">
        <v>3532</v>
      </c>
      <c r="W383" t="s">
        <v>2570</v>
      </c>
      <c r="X383" t="s">
        <v>2729</v>
      </c>
    </row>
    <row r="384" spans="1:24">
      <c r="A384">
        <f>HYPERLINK("https://www.philgeps.gov.ph/GEPSNONPILOT/Tender/SplashBidNoticeAbstractUI.aspx?menuIndex=3&amp;refID=7064664&amp;Result=3","7064664")</f>
        <v>0</v>
      </c>
      <c r="B384" t="s">
        <v>146</v>
      </c>
      <c r="C384" t="s">
        <v>705</v>
      </c>
      <c r="D384" t="s">
        <v>1045</v>
      </c>
      <c r="E384" t="s">
        <v>1429</v>
      </c>
      <c r="F384" t="s">
        <v>1712</v>
      </c>
      <c r="G384" t="s">
        <v>1717</v>
      </c>
      <c r="H384" t="s">
        <v>1722</v>
      </c>
      <c r="I384" t="s">
        <v>1731</v>
      </c>
      <c r="J384" t="s">
        <v>2138</v>
      </c>
      <c r="K384" t="s">
        <v>2366</v>
      </c>
      <c r="M384" t="s">
        <v>2537</v>
      </c>
      <c r="N384" t="s">
        <v>2727</v>
      </c>
      <c r="O384" t="s">
        <v>2728</v>
      </c>
      <c r="P384">
        <v>0</v>
      </c>
      <c r="Q384">
        <v>0</v>
      </c>
      <c r="R384" t="s">
        <v>2730</v>
      </c>
      <c r="S384" t="s">
        <v>2732</v>
      </c>
      <c r="T384" t="s">
        <v>2813</v>
      </c>
      <c r="U384" t="s">
        <v>3211</v>
      </c>
      <c r="W384" t="s">
        <v>2537</v>
      </c>
      <c r="X384" t="s">
        <v>2729</v>
      </c>
    </row>
    <row r="385" spans="1:24">
      <c r="A385">
        <f>HYPERLINK("https://www.philgeps.gov.ph/GEPSNONPILOT/Tender/SplashBidNoticeAbstractUI.aspx?menuIndex=3&amp;refID=7064655&amp;Result=3","7064655")</f>
        <v>0</v>
      </c>
      <c r="B385" t="s">
        <v>169</v>
      </c>
      <c r="C385" t="s">
        <v>706</v>
      </c>
      <c r="D385" t="s">
        <v>1049</v>
      </c>
      <c r="E385" t="s">
        <v>1430</v>
      </c>
      <c r="F385" t="s">
        <v>1712</v>
      </c>
      <c r="G385" t="s">
        <v>1716</v>
      </c>
      <c r="H385" t="s">
        <v>1722</v>
      </c>
      <c r="I385" t="s">
        <v>1727</v>
      </c>
      <c r="J385" t="s">
        <v>2139</v>
      </c>
      <c r="K385" t="s">
        <v>2358</v>
      </c>
      <c r="M385" t="s">
        <v>2560</v>
      </c>
      <c r="N385" t="s">
        <v>2727</v>
      </c>
      <c r="O385" t="s">
        <v>2728</v>
      </c>
      <c r="P385">
        <v>0</v>
      </c>
      <c r="Q385">
        <v>0</v>
      </c>
      <c r="R385" t="s">
        <v>2730</v>
      </c>
      <c r="S385" t="s">
        <v>2732</v>
      </c>
      <c r="T385" t="s">
        <v>2757</v>
      </c>
      <c r="U385" t="s">
        <v>3212</v>
      </c>
      <c r="W385" t="s">
        <v>2560</v>
      </c>
      <c r="X385" t="s">
        <v>2729</v>
      </c>
    </row>
    <row r="386" spans="1:24">
      <c r="A386">
        <f>HYPERLINK("https://www.philgeps.gov.ph/GEPSNONPILOT/Tender/SplashBidNoticeAbstractUI.aspx?menuIndex=3&amp;refID=7064663&amp;Result=3","7064663")</f>
        <v>0</v>
      </c>
      <c r="B386" t="s">
        <v>180</v>
      </c>
      <c r="C386" t="s">
        <v>707</v>
      </c>
      <c r="D386" t="s">
        <v>1051</v>
      </c>
      <c r="E386" t="s">
        <v>1431</v>
      </c>
      <c r="F386" t="s">
        <v>1712</v>
      </c>
      <c r="G386" t="s">
        <v>1717</v>
      </c>
      <c r="H386" t="s">
        <v>1722</v>
      </c>
      <c r="I386" t="s">
        <v>1730</v>
      </c>
      <c r="J386" t="s">
        <v>2140</v>
      </c>
      <c r="K386" t="s">
        <v>2366</v>
      </c>
      <c r="M386" t="s">
        <v>2571</v>
      </c>
      <c r="N386" t="s">
        <v>2727</v>
      </c>
      <c r="O386" t="s">
        <v>2728</v>
      </c>
      <c r="P386">
        <v>0</v>
      </c>
      <c r="Q386">
        <v>0</v>
      </c>
      <c r="R386" t="s">
        <v>2730</v>
      </c>
      <c r="S386" t="s">
        <v>2732</v>
      </c>
      <c r="T386" t="s">
        <v>2749</v>
      </c>
      <c r="U386" t="s">
        <v>3213</v>
      </c>
      <c r="W386" t="s">
        <v>2571</v>
      </c>
      <c r="X386" t="s">
        <v>2729</v>
      </c>
    </row>
    <row r="387" spans="1:24">
      <c r="A387">
        <f>HYPERLINK("https://www.philgeps.gov.ph/GEPSNONPILOT/Tender/SplashBidNoticeAbstractUI.aspx?menuIndex=3&amp;refID=7064662&amp;Result=3","7064662")</f>
        <v>0</v>
      </c>
      <c r="B387" t="s">
        <v>181</v>
      </c>
      <c r="C387" t="s">
        <v>708</v>
      </c>
      <c r="D387" t="s">
        <v>1025</v>
      </c>
      <c r="E387" t="s">
        <v>1432</v>
      </c>
      <c r="F387" t="s">
        <v>1712</v>
      </c>
      <c r="G387" t="s">
        <v>1716</v>
      </c>
      <c r="H387" t="s">
        <v>1722</v>
      </c>
      <c r="I387" t="s">
        <v>1732</v>
      </c>
      <c r="J387" t="s">
        <v>2141</v>
      </c>
      <c r="K387" t="s">
        <v>2366</v>
      </c>
      <c r="M387" t="s">
        <v>2572</v>
      </c>
      <c r="N387" t="s">
        <v>2727</v>
      </c>
      <c r="O387" t="s">
        <v>2728</v>
      </c>
      <c r="P387">
        <v>0</v>
      </c>
      <c r="Q387">
        <v>0</v>
      </c>
      <c r="R387" t="s">
        <v>2730</v>
      </c>
      <c r="S387" t="s">
        <v>2732</v>
      </c>
      <c r="T387" t="s">
        <v>2747</v>
      </c>
      <c r="U387" t="s">
        <v>3214</v>
      </c>
      <c r="V387" t="s">
        <v>3533</v>
      </c>
      <c r="W387" t="s">
        <v>2572</v>
      </c>
      <c r="X387" t="s">
        <v>2729</v>
      </c>
    </row>
    <row r="388" spans="1:24">
      <c r="A388">
        <f>HYPERLINK("https://www.philgeps.gov.ph/GEPSNONPILOT/Tender/SplashBidNoticeAbstractUI.aspx?menuIndex=3&amp;refID=7064661&amp;Result=3","7064661")</f>
        <v>0</v>
      </c>
      <c r="B388" t="s">
        <v>182</v>
      </c>
      <c r="C388" t="s">
        <v>709</v>
      </c>
      <c r="D388" t="s">
        <v>1014</v>
      </c>
      <c r="E388" t="s">
        <v>1433</v>
      </c>
      <c r="F388" t="s">
        <v>1712</v>
      </c>
      <c r="G388" t="s">
        <v>1717</v>
      </c>
      <c r="H388" t="s">
        <v>1722</v>
      </c>
      <c r="I388" t="s">
        <v>1780</v>
      </c>
      <c r="J388" t="s">
        <v>2142</v>
      </c>
      <c r="K388" t="s">
        <v>2365</v>
      </c>
      <c r="M388" t="s">
        <v>2573</v>
      </c>
      <c r="N388" t="s">
        <v>2727</v>
      </c>
      <c r="O388" t="s">
        <v>2728</v>
      </c>
      <c r="P388">
        <v>0</v>
      </c>
      <c r="Q388">
        <v>0</v>
      </c>
      <c r="R388" t="s">
        <v>2730</v>
      </c>
      <c r="S388" t="s">
        <v>2732</v>
      </c>
      <c r="T388" t="s">
        <v>2788</v>
      </c>
      <c r="U388" t="s">
        <v>3215</v>
      </c>
      <c r="W388" t="s">
        <v>2573</v>
      </c>
      <c r="X388" t="s">
        <v>2729</v>
      </c>
    </row>
    <row r="389" spans="1:24">
      <c r="A389">
        <f>HYPERLINK("https://www.philgeps.gov.ph/GEPSNONPILOT/Tender/SplashBidNoticeAbstractUI.aspx?menuIndex=3&amp;refID=7064665&amp;Result=3","7064665")</f>
        <v>0</v>
      </c>
      <c r="B389" t="s">
        <v>166</v>
      </c>
      <c r="C389" t="s">
        <v>710</v>
      </c>
      <c r="D389" t="s">
        <v>1021</v>
      </c>
      <c r="E389" t="s">
        <v>1434</v>
      </c>
      <c r="F389" t="s">
        <v>1712</v>
      </c>
      <c r="G389" t="s">
        <v>1716</v>
      </c>
      <c r="H389" t="s">
        <v>1722</v>
      </c>
      <c r="I389" t="s">
        <v>1746</v>
      </c>
      <c r="J389" t="s">
        <v>2143</v>
      </c>
      <c r="K389" t="s">
        <v>2366</v>
      </c>
      <c r="M389" t="s">
        <v>2557</v>
      </c>
      <c r="N389" t="s">
        <v>2727</v>
      </c>
      <c r="O389" t="s">
        <v>2728</v>
      </c>
      <c r="P389">
        <v>0</v>
      </c>
      <c r="Q389">
        <v>0</v>
      </c>
      <c r="R389" t="s">
        <v>2730</v>
      </c>
      <c r="S389" t="s">
        <v>2732</v>
      </c>
      <c r="T389" t="s">
        <v>2757</v>
      </c>
      <c r="U389" t="s">
        <v>3193</v>
      </c>
      <c r="V389" t="s">
        <v>3528</v>
      </c>
      <c r="W389" t="s">
        <v>2557</v>
      </c>
      <c r="X389" t="s">
        <v>2729</v>
      </c>
    </row>
    <row r="390" spans="1:24">
      <c r="A390">
        <f>HYPERLINK("https://www.philgeps.gov.ph/GEPSNONPILOT/Tender/SplashBidNoticeAbstractUI.aspx?menuIndex=3&amp;refID=7064682&amp;Result=3","7064682")</f>
        <v>0</v>
      </c>
      <c r="B390" t="s">
        <v>183</v>
      </c>
      <c r="C390" t="s">
        <v>711</v>
      </c>
      <c r="D390" t="s">
        <v>1014</v>
      </c>
      <c r="E390" t="s">
        <v>1435</v>
      </c>
      <c r="F390" t="s">
        <v>1712</v>
      </c>
      <c r="G390" t="s">
        <v>1716</v>
      </c>
      <c r="H390" t="s">
        <v>1723</v>
      </c>
      <c r="I390" t="s">
        <v>1729</v>
      </c>
      <c r="J390" t="s">
        <v>2144</v>
      </c>
      <c r="K390" t="s">
        <v>2402</v>
      </c>
      <c r="M390" t="s">
        <v>2574</v>
      </c>
      <c r="N390" t="s">
        <v>2727</v>
      </c>
      <c r="O390" t="s">
        <v>2728</v>
      </c>
      <c r="P390">
        <v>0</v>
      </c>
      <c r="Q390">
        <v>0</v>
      </c>
      <c r="R390" t="s">
        <v>2730</v>
      </c>
      <c r="S390" t="s">
        <v>2732</v>
      </c>
      <c r="T390" t="s">
        <v>2824</v>
      </c>
      <c r="U390" t="s">
        <v>3216</v>
      </c>
      <c r="W390" t="s">
        <v>2574</v>
      </c>
      <c r="X390" t="s">
        <v>2729</v>
      </c>
    </row>
    <row r="391" spans="1:24">
      <c r="A391">
        <f>HYPERLINK("https://www.philgeps.gov.ph/GEPSNONPILOT/Tender/SplashBidNoticeAbstractUI.aspx?menuIndex=3&amp;refID=7064680&amp;Result=3","7064680")</f>
        <v>0</v>
      </c>
      <c r="B391" t="s">
        <v>184</v>
      </c>
      <c r="C391" t="s">
        <v>712</v>
      </c>
      <c r="D391" t="s">
        <v>1006</v>
      </c>
      <c r="E391" t="s">
        <v>1436</v>
      </c>
      <c r="F391" t="s">
        <v>1712</v>
      </c>
      <c r="G391" t="s">
        <v>1717</v>
      </c>
      <c r="H391" t="s">
        <v>1722</v>
      </c>
      <c r="I391" t="s">
        <v>1730</v>
      </c>
      <c r="J391" t="s">
        <v>2108</v>
      </c>
      <c r="K391" t="s">
        <v>2359</v>
      </c>
      <c r="M391" t="s">
        <v>2575</v>
      </c>
      <c r="N391" t="s">
        <v>2727</v>
      </c>
      <c r="O391" t="s">
        <v>2728</v>
      </c>
      <c r="P391">
        <v>0</v>
      </c>
      <c r="Q391">
        <v>0</v>
      </c>
      <c r="R391" t="s">
        <v>2730</v>
      </c>
      <c r="S391" t="s">
        <v>2732</v>
      </c>
      <c r="T391" t="s">
        <v>2778</v>
      </c>
      <c r="U391" t="s">
        <v>3217</v>
      </c>
      <c r="V391" t="s">
        <v>3534</v>
      </c>
      <c r="W391" t="s">
        <v>2575</v>
      </c>
      <c r="X391" t="s">
        <v>2729</v>
      </c>
    </row>
    <row r="392" spans="1:24">
      <c r="A392">
        <f>HYPERLINK("https://www.philgeps.gov.ph/GEPSNONPILOT/Tender/SplashBidNoticeAbstractUI.aspx?menuIndex=3&amp;refID=7064676&amp;Result=3","7064676")</f>
        <v>0</v>
      </c>
      <c r="B392" t="s">
        <v>185</v>
      </c>
      <c r="C392" t="s">
        <v>713</v>
      </c>
      <c r="D392" t="s">
        <v>1043</v>
      </c>
      <c r="E392" t="s">
        <v>1437</v>
      </c>
      <c r="F392" t="s">
        <v>1712</v>
      </c>
      <c r="G392" t="s">
        <v>1717</v>
      </c>
      <c r="H392" t="s">
        <v>1722</v>
      </c>
      <c r="I392" t="s">
        <v>1750</v>
      </c>
      <c r="J392" t="s">
        <v>2145</v>
      </c>
      <c r="K392" t="s">
        <v>2360</v>
      </c>
      <c r="M392" t="s">
        <v>2576</v>
      </c>
      <c r="N392" t="s">
        <v>2727</v>
      </c>
      <c r="O392" t="s">
        <v>2728</v>
      </c>
      <c r="P392">
        <v>0</v>
      </c>
      <c r="Q392">
        <v>0</v>
      </c>
      <c r="R392" t="s">
        <v>2730</v>
      </c>
      <c r="S392" t="s">
        <v>2732</v>
      </c>
      <c r="T392" t="s">
        <v>2817</v>
      </c>
      <c r="U392" t="s">
        <v>3218</v>
      </c>
      <c r="W392" t="s">
        <v>2576</v>
      </c>
      <c r="X392" t="s">
        <v>2729</v>
      </c>
    </row>
    <row r="393" spans="1:24">
      <c r="A393">
        <f>HYPERLINK("https://www.philgeps.gov.ph/GEPSNONPILOT/Tender/SplashBidNoticeAbstractUI.aspx?menuIndex=3&amp;refID=7064674&amp;Result=3","7064674")</f>
        <v>0</v>
      </c>
      <c r="B393" t="s">
        <v>186</v>
      </c>
      <c r="C393" t="s">
        <v>714</v>
      </c>
      <c r="D393" t="s">
        <v>994</v>
      </c>
      <c r="E393" t="s">
        <v>1438</v>
      </c>
      <c r="F393" t="s">
        <v>1712</v>
      </c>
      <c r="G393" t="s">
        <v>1717</v>
      </c>
      <c r="H393" t="s">
        <v>1722</v>
      </c>
      <c r="I393" t="s">
        <v>1764</v>
      </c>
      <c r="J393" t="s">
        <v>2146</v>
      </c>
      <c r="K393" t="s">
        <v>2360</v>
      </c>
      <c r="M393" t="s">
        <v>2577</v>
      </c>
      <c r="N393" t="s">
        <v>2727</v>
      </c>
      <c r="O393" t="s">
        <v>2728</v>
      </c>
      <c r="P393">
        <v>0</v>
      </c>
      <c r="Q393">
        <v>0</v>
      </c>
      <c r="R393" t="s">
        <v>2730</v>
      </c>
      <c r="S393" t="s">
        <v>2732</v>
      </c>
      <c r="T393" t="s">
        <v>2787</v>
      </c>
      <c r="U393" t="s">
        <v>3219</v>
      </c>
      <c r="W393" t="s">
        <v>2577</v>
      </c>
      <c r="X393" t="s">
        <v>2729</v>
      </c>
    </row>
    <row r="394" spans="1:24">
      <c r="A394">
        <f>HYPERLINK("https://www.philgeps.gov.ph/GEPSNONPILOT/Tender/SplashBidNoticeAbstractUI.aspx?menuIndex=3&amp;refID=7064683&amp;Result=3","7064683")</f>
        <v>0</v>
      </c>
      <c r="B394" t="s">
        <v>187</v>
      </c>
      <c r="C394" t="s">
        <v>715</v>
      </c>
      <c r="D394" t="s">
        <v>1052</v>
      </c>
      <c r="E394" t="s">
        <v>1439</v>
      </c>
      <c r="F394" t="s">
        <v>1712</v>
      </c>
      <c r="G394" t="s">
        <v>1716</v>
      </c>
      <c r="H394" t="s">
        <v>1723</v>
      </c>
      <c r="I394" t="s">
        <v>1727</v>
      </c>
      <c r="J394" t="s">
        <v>2147</v>
      </c>
      <c r="K394" t="s">
        <v>2403</v>
      </c>
      <c r="M394" t="s">
        <v>2578</v>
      </c>
      <c r="N394" t="s">
        <v>2727</v>
      </c>
      <c r="O394" t="s">
        <v>2728</v>
      </c>
      <c r="P394">
        <v>0</v>
      </c>
      <c r="Q394">
        <v>0</v>
      </c>
      <c r="R394" t="s">
        <v>2730</v>
      </c>
      <c r="S394" t="s">
        <v>2732</v>
      </c>
      <c r="T394" t="s">
        <v>2792</v>
      </c>
      <c r="U394" t="s">
        <v>3220</v>
      </c>
      <c r="W394" t="s">
        <v>2578</v>
      </c>
      <c r="X394" t="s">
        <v>2729</v>
      </c>
    </row>
    <row r="395" spans="1:24">
      <c r="A395">
        <f>HYPERLINK("https://www.philgeps.gov.ph/GEPSNONPILOT/Tender/SplashBidNoticeAbstractUI.aspx?menuIndex=3&amp;refID=7064677&amp;Result=3","7064677")</f>
        <v>0</v>
      </c>
      <c r="B395" t="s">
        <v>188</v>
      </c>
      <c r="C395" t="s">
        <v>716</v>
      </c>
      <c r="D395" t="s">
        <v>994</v>
      </c>
      <c r="E395" t="s">
        <v>1440</v>
      </c>
      <c r="F395" t="s">
        <v>1712</v>
      </c>
      <c r="G395" t="s">
        <v>1716</v>
      </c>
      <c r="H395" t="s">
        <v>1723</v>
      </c>
      <c r="I395" t="s">
        <v>1729</v>
      </c>
      <c r="J395" t="s">
        <v>1857</v>
      </c>
      <c r="K395" t="s">
        <v>2404</v>
      </c>
      <c r="M395" t="s">
        <v>2579</v>
      </c>
      <c r="N395" t="s">
        <v>2727</v>
      </c>
      <c r="O395" t="s">
        <v>2728</v>
      </c>
      <c r="P395">
        <v>0</v>
      </c>
      <c r="Q395">
        <v>0</v>
      </c>
      <c r="R395" t="s">
        <v>2730</v>
      </c>
      <c r="S395" t="s">
        <v>2732</v>
      </c>
      <c r="T395" t="s">
        <v>2747</v>
      </c>
      <c r="U395" t="s">
        <v>3221</v>
      </c>
      <c r="W395" t="s">
        <v>2579</v>
      </c>
      <c r="X395" t="s">
        <v>2729</v>
      </c>
    </row>
    <row r="396" spans="1:24">
      <c r="A396">
        <f>HYPERLINK("https://www.philgeps.gov.ph/GEPSNONPILOT/Tender/SplashBidNoticeAbstractUI.aspx?menuIndex=3&amp;refID=7064670&amp;Result=3","7064670")</f>
        <v>0</v>
      </c>
      <c r="B396" t="s">
        <v>166</v>
      </c>
      <c r="C396" t="s">
        <v>717</v>
      </c>
      <c r="D396" t="s">
        <v>1021</v>
      </c>
      <c r="E396" t="s">
        <v>1441</v>
      </c>
      <c r="F396" t="s">
        <v>1712</v>
      </c>
      <c r="G396" t="s">
        <v>1716</v>
      </c>
      <c r="H396" t="s">
        <v>1722</v>
      </c>
      <c r="I396" t="s">
        <v>1731</v>
      </c>
      <c r="J396" t="s">
        <v>2148</v>
      </c>
      <c r="K396" t="s">
        <v>2366</v>
      </c>
      <c r="M396" t="s">
        <v>2557</v>
      </c>
      <c r="N396" t="s">
        <v>2727</v>
      </c>
      <c r="O396" t="s">
        <v>2728</v>
      </c>
      <c r="P396">
        <v>0</v>
      </c>
      <c r="Q396">
        <v>0</v>
      </c>
      <c r="R396" t="s">
        <v>2730</v>
      </c>
      <c r="S396" t="s">
        <v>2732</v>
      </c>
      <c r="T396" t="s">
        <v>2757</v>
      </c>
      <c r="U396" t="s">
        <v>3193</v>
      </c>
      <c r="V396" t="s">
        <v>3528</v>
      </c>
      <c r="W396" t="s">
        <v>2557</v>
      </c>
      <c r="X396" t="s">
        <v>2729</v>
      </c>
    </row>
    <row r="397" spans="1:24">
      <c r="A397">
        <f>HYPERLINK("https://www.philgeps.gov.ph/GEPSNONPILOT/Tender/SplashBidNoticeAbstractUI.aspx?menuIndex=3&amp;refID=7064672&amp;Result=3","7064672")</f>
        <v>0</v>
      </c>
      <c r="B397" t="s">
        <v>189</v>
      </c>
      <c r="C397" t="s">
        <v>718</v>
      </c>
      <c r="D397" t="s">
        <v>1026</v>
      </c>
      <c r="E397" t="s">
        <v>1442</v>
      </c>
      <c r="F397" t="s">
        <v>1712</v>
      </c>
      <c r="G397" t="s">
        <v>1717</v>
      </c>
      <c r="H397" t="s">
        <v>1722</v>
      </c>
      <c r="I397" t="s">
        <v>1730</v>
      </c>
      <c r="J397" t="s">
        <v>2149</v>
      </c>
      <c r="K397" t="s">
        <v>2358</v>
      </c>
      <c r="M397" t="s">
        <v>2580</v>
      </c>
      <c r="N397" t="s">
        <v>2727</v>
      </c>
      <c r="O397" t="s">
        <v>2728</v>
      </c>
      <c r="P397">
        <v>0</v>
      </c>
      <c r="Q397">
        <v>0</v>
      </c>
      <c r="R397" t="s">
        <v>2730</v>
      </c>
      <c r="S397" t="s">
        <v>2732</v>
      </c>
      <c r="T397" t="s">
        <v>2768</v>
      </c>
      <c r="U397" t="s">
        <v>3222</v>
      </c>
      <c r="W397" t="s">
        <v>2580</v>
      </c>
      <c r="X397" t="s">
        <v>2729</v>
      </c>
    </row>
    <row r="398" spans="1:24">
      <c r="A398">
        <f>HYPERLINK("https://www.philgeps.gov.ph/GEPSNONPILOT/Tender/SplashBidNoticeAbstractUI.aspx?menuIndex=3&amp;refID=7064671&amp;Result=3","7064671")</f>
        <v>0</v>
      </c>
      <c r="B398" t="s">
        <v>190</v>
      </c>
      <c r="C398" t="s">
        <v>719</v>
      </c>
      <c r="D398" t="s">
        <v>1053</v>
      </c>
      <c r="E398" t="s">
        <v>1443</v>
      </c>
      <c r="F398" t="s">
        <v>1712</v>
      </c>
      <c r="G398" t="s">
        <v>1717</v>
      </c>
      <c r="H398" t="s">
        <v>1722</v>
      </c>
      <c r="I398" t="s">
        <v>1732</v>
      </c>
      <c r="J398" t="s">
        <v>2150</v>
      </c>
      <c r="K398" t="s">
        <v>2370</v>
      </c>
      <c r="M398" t="s">
        <v>2581</v>
      </c>
      <c r="N398" t="s">
        <v>2727</v>
      </c>
      <c r="O398" t="s">
        <v>2728</v>
      </c>
      <c r="P398">
        <v>0</v>
      </c>
      <c r="Q398">
        <v>0</v>
      </c>
      <c r="R398" t="s">
        <v>2730</v>
      </c>
      <c r="S398" t="s">
        <v>2732</v>
      </c>
      <c r="T398" t="s">
        <v>2753</v>
      </c>
      <c r="U398" t="s">
        <v>3223</v>
      </c>
      <c r="V398" t="s">
        <v>3535</v>
      </c>
      <c r="W398" t="s">
        <v>2581</v>
      </c>
      <c r="X398" t="s">
        <v>2729</v>
      </c>
    </row>
    <row r="399" spans="1:24">
      <c r="A399">
        <f>HYPERLINK("https://www.philgeps.gov.ph/GEPSNONPILOT/Tender/SplashBidNoticeAbstractUI.aspx?menuIndex=3&amp;refID=7064678&amp;Result=3","7064678")</f>
        <v>0</v>
      </c>
      <c r="B399" t="s">
        <v>178</v>
      </c>
      <c r="C399" t="s">
        <v>720</v>
      </c>
      <c r="D399" t="s">
        <v>1004</v>
      </c>
      <c r="E399" t="s">
        <v>1444</v>
      </c>
      <c r="F399" t="s">
        <v>1712</v>
      </c>
      <c r="G399" t="s">
        <v>1716</v>
      </c>
      <c r="H399" t="s">
        <v>1722</v>
      </c>
      <c r="I399" t="s">
        <v>1727</v>
      </c>
      <c r="J399" t="s">
        <v>2151</v>
      </c>
      <c r="K399" t="s">
        <v>2358</v>
      </c>
      <c r="M399" t="s">
        <v>2569</v>
      </c>
      <c r="N399" t="s">
        <v>2727</v>
      </c>
      <c r="O399" t="s">
        <v>2728</v>
      </c>
      <c r="P399">
        <v>0</v>
      </c>
      <c r="Q399">
        <v>0</v>
      </c>
      <c r="R399" t="s">
        <v>2730</v>
      </c>
      <c r="S399" t="s">
        <v>2732</v>
      </c>
      <c r="T399" t="s">
        <v>2771</v>
      </c>
      <c r="U399" t="s">
        <v>3224</v>
      </c>
      <c r="W399" t="s">
        <v>2569</v>
      </c>
      <c r="X399" t="s">
        <v>2729</v>
      </c>
    </row>
    <row r="400" spans="1:24">
      <c r="A400">
        <f>HYPERLINK("https://www.philgeps.gov.ph/GEPSNONPILOT/Tender/SplashBidNoticeAbstractUI.aspx?menuIndex=3&amp;refID=7064684&amp;Result=3","7064684")</f>
        <v>0</v>
      </c>
      <c r="B400" t="s">
        <v>191</v>
      </c>
      <c r="C400" t="s">
        <v>721</v>
      </c>
      <c r="D400" t="s">
        <v>1054</v>
      </c>
      <c r="E400" t="s">
        <v>1445</v>
      </c>
      <c r="F400" t="s">
        <v>1712</v>
      </c>
      <c r="G400" t="s">
        <v>1717</v>
      </c>
      <c r="H400" t="s">
        <v>1722</v>
      </c>
      <c r="I400" t="s">
        <v>1734</v>
      </c>
      <c r="J400" t="s">
        <v>2152</v>
      </c>
      <c r="K400" t="s">
        <v>2367</v>
      </c>
      <c r="M400" t="s">
        <v>2582</v>
      </c>
      <c r="N400" t="s">
        <v>2727</v>
      </c>
      <c r="O400" t="s">
        <v>2728</v>
      </c>
      <c r="P400">
        <v>0</v>
      </c>
      <c r="Q400">
        <v>0</v>
      </c>
      <c r="R400" t="s">
        <v>2730</v>
      </c>
      <c r="S400" t="s">
        <v>2732</v>
      </c>
      <c r="T400" t="s">
        <v>2811</v>
      </c>
      <c r="U400" t="s">
        <v>3225</v>
      </c>
      <c r="V400" t="s">
        <v>3536</v>
      </c>
      <c r="W400" t="s">
        <v>2582</v>
      </c>
      <c r="X400" t="s">
        <v>2729</v>
      </c>
    </row>
    <row r="401" spans="1:24">
      <c r="A401">
        <f>HYPERLINK("https://www.philgeps.gov.ph/GEPSNONPILOT/Tender/SplashBidNoticeAbstractUI.aspx?menuIndex=3&amp;refID=7064669&amp;Result=3","7064669")</f>
        <v>0</v>
      </c>
      <c r="B401" t="s">
        <v>172</v>
      </c>
      <c r="C401" t="s">
        <v>722</v>
      </c>
      <c r="D401" t="s">
        <v>1037</v>
      </c>
      <c r="E401" t="s">
        <v>1446</v>
      </c>
      <c r="F401" t="s">
        <v>1712</v>
      </c>
      <c r="G401" t="s">
        <v>1716</v>
      </c>
      <c r="H401" t="s">
        <v>1722</v>
      </c>
      <c r="I401" t="s">
        <v>1727</v>
      </c>
      <c r="J401" t="s">
        <v>2153</v>
      </c>
      <c r="K401" t="s">
        <v>2359</v>
      </c>
      <c r="M401" t="s">
        <v>2563</v>
      </c>
      <c r="N401" t="s">
        <v>2727</v>
      </c>
      <c r="O401" t="s">
        <v>2728</v>
      </c>
      <c r="P401">
        <v>0</v>
      </c>
      <c r="Q401">
        <v>0</v>
      </c>
      <c r="R401" t="s">
        <v>2730</v>
      </c>
      <c r="S401" t="s">
        <v>2732</v>
      </c>
      <c r="T401" t="s">
        <v>2822</v>
      </c>
      <c r="U401" t="s">
        <v>3226</v>
      </c>
      <c r="W401" t="s">
        <v>2563</v>
      </c>
      <c r="X401" t="s">
        <v>2729</v>
      </c>
    </row>
    <row r="402" spans="1:24">
      <c r="A402">
        <f>HYPERLINK("https://www.philgeps.gov.ph/GEPSNONPILOT/Tender/SplashBidNoticeAbstractUI.aspx?menuIndex=3&amp;refID=7064675&amp;Result=3","7064675")</f>
        <v>0</v>
      </c>
      <c r="B402" t="s">
        <v>166</v>
      </c>
      <c r="C402" t="s">
        <v>723</v>
      </c>
      <c r="D402" t="s">
        <v>1021</v>
      </c>
      <c r="E402" t="s">
        <v>1447</v>
      </c>
      <c r="F402" t="s">
        <v>1712</v>
      </c>
      <c r="G402" t="s">
        <v>1716</v>
      </c>
      <c r="H402" t="s">
        <v>1722</v>
      </c>
      <c r="I402" t="s">
        <v>1731</v>
      </c>
      <c r="J402" t="s">
        <v>2154</v>
      </c>
      <c r="K402" t="s">
        <v>2366</v>
      </c>
      <c r="M402" t="s">
        <v>2557</v>
      </c>
      <c r="N402" t="s">
        <v>2727</v>
      </c>
      <c r="O402" t="s">
        <v>2728</v>
      </c>
      <c r="P402">
        <v>0</v>
      </c>
      <c r="Q402">
        <v>0</v>
      </c>
      <c r="R402" t="s">
        <v>2730</v>
      </c>
      <c r="S402" t="s">
        <v>2732</v>
      </c>
      <c r="T402" t="s">
        <v>2757</v>
      </c>
      <c r="U402" t="s">
        <v>3193</v>
      </c>
      <c r="V402" t="s">
        <v>3528</v>
      </c>
      <c r="W402" t="s">
        <v>2557</v>
      </c>
      <c r="X402" t="s">
        <v>2729</v>
      </c>
    </row>
    <row r="403" spans="1:24">
      <c r="A403">
        <f>HYPERLINK("https://www.philgeps.gov.ph/GEPSNONPILOT/Tender/SplashBidNoticeAbstractUI.aspx?menuIndex=3&amp;refID=7064686&amp;Result=3","7064686")</f>
        <v>0</v>
      </c>
      <c r="B403" t="s">
        <v>192</v>
      </c>
      <c r="C403" t="s">
        <v>724</v>
      </c>
      <c r="D403" t="s">
        <v>1022</v>
      </c>
      <c r="E403" t="s">
        <v>1448</v>
      </c>
      <c r="F403" t="s">
        <v>1712</v>
      </c>
      <c r="G403" t="s">
        <v>1716</v>
      </c>
      <c r="H403" t="s">
        <v>1722</v>
      </c>
      <c r="I403" t="s">
        <v>1726</v>
      </c>
      <c r="J403" t="s">
        <v>2155</v>
      </c>
      <c r="K403" t="s">
        <v>2367</v>
      </c>
      <c r="M403" t="s">
        <v>2583</v>
      </c>
      <c r="N403" t="s">
        <v>2727</v>
      </c>
      <c r="O403" t="s">
        <v>2728</v>
      </c>
      <c r="P403">
        <v>0</v>
      </c>
      <c r="Q403">
        <v>2</v>
      </c>
      <c r="R403" t="s">
        <v>2730</v>
      </c>
      <c r="S403" t="s">
        <v>2732</v>
      </c>
      <c r="T403" t="s">
        <v>2777</v>
      </c>
      <c r="U403" t="s">
        <v>3227</v>
      </c>
      <c r="W403" t="s">
        <v>2583</v>
      </c>
      <c r="X403" t="s">
        <v>2729</v>
      </c>
    </row>
    <row r="404" spans="1:24">
      <c r="A404">
        <f>HYPERLINK("https://www.philgeps.gov.ph/GEPSNONPILOT/Tender/SplashBidNoticeAbstractUI.aspx?menuIndex=3&amp;refID=7064703&amp;Result=3","7064703")</f>
        <v>0</v>
      </c>
      <c r="B404" t="s">
        <v>185</v>
      </c>
      <c r="C404" t="s">
        <v>725</v>
      </c>
      <c r="D404" t="s">
        <v>1043</v>
      </c>
      <c r="E404" t="s">
        <v>1449</v>
      </c>
      <c r="F404" t="s">
        <v>1712</v>
      </c>
      <c r="G404" t="s">
        <v>1718</v>
      </c>
      <c r="H404" t="s">
        <v>1722</v>
      </c>
      <c r="I404" t="s">
        <v>1763</v>
      </c>
      <c r="J404" t="s">
        <v>2156</v>
      </c>
      <c r="K404" t="s">
        <v>2360</v>
      </c>
      <c r="M404" t="s">
        <v>2576</v>
      </c>
      <c r="N404" t="s">
        <v>2727</v>
      </c>
      <c r="O404" t="s">
        <v>2728</v>
      </c>
      <c r="P404">
        <v>0</v>
      </c>
      <c r="Q404">
        <v>0</v>
      </c>
      <c r="R404" t="s">
        <v>2730</v>
      </c>
      <c r="S404" t="s">
        <v>2732</v>
      </c>
      <c r="T404" t="s">
        <v>2817</v>
      </c>
      <c r="U404" t="s">
        <v>3228</v>
      </c>
      <c r="W404" t="s">
        <v>2576</v>
      </c>
      <c r="X404" t="s">
        <v>2729</v>
      </c>
    </row>
    <row r="405" spans="1:24">
      <c r="A405">
        <f>HYPERLINK("https://www.philgeps.gov.ph/GEPSNONPILOT/Tender/SplashBidNoticeAbstractUI.aspx?menuIndex=3&amp;refID=7064685&amp;Result=3","7064685")</f>
        <v>0</v>
      </c>
      <c r="B405" t="s">
        <v>193</v>
      </c>
      <c r="C405" t="s">
        <v>726</v>
      </c>
      <c r="D405" t="s">
        <v>997</v>
      </c>
      <c r="E405" t="s">
        <v>1450</v>
      </c>
      <c r="F405" t="s">
        <v>1712</v>
      </c>
      <c r="G405" t="s">
        <v>1716</v>
      </c>
      <c r="H405" t="s">
        <v>1722</v>
      </c>
      <c r="I405" t="s">
        <v>1750</v>
      </c>
      <c r="J405" t="s">
        <v>2079</v>
      </c>
      <c r="K405" t="s">
        <v>2367</v>
      </c>
      <c r="M405" t="s">
        <v>2584</v>
      </c>
      <c r="N405" t="s">
        <v>2727</v>
      </c>
      <c r="O405" t="s">
        <v>2728</v>
      </c>
      <c r="P405">
        <v>0</v>
      </c>
      <c r="Q405">
        <v>0</v>
      </c>
      <c r="R405" t="s">
        <v>2730</v>
      </c>
      <c r="S405" t="s">
        <v>2732</v>
      </c>
      <c r="T405" t="s">
        <v>2750</v>
      </c>
      <c r="U405" t="s">
        <v>3229</v>
      </c>
      <c r="W405" t="s">
        <v>2584</v>
      </c>
      <c r="X405" t="s">
        <v>2729</v>
      </c>
    </row>
    <row r="406" spans="1:24">
      <c r="A406">
        <f>HYPERLINK("https://www.philgeps.gov.ph/GEPSNONPILOT/Tender/SplashBidNoticeAbstractUI.aspx?menuIndex=3&amp;refID=7064687&amp;Result=3","7064687")</f>
        <v>0</v>
      </c>
      <c r="B406" t="s">
        <v>107</v>
      </c>
      <c r="C406" t="s">
        <v>727</v>
      </c>
      <c r="D406" t="s">
        <v>998</v>
      </c>
      <c r="E406" t="s">
        <v>1451</v>
      </c>
      <c r="F406" t="s">
        <v>1712</v>
      </c>
      <c r="G406" t="s">
        <v>1718</v>
      </c>
      <c r="H406" t="s">
        <v>1722</v>
      </c>
      <c r="I406" t="s">
        <v>1728</v>
      </c>
      <c r="J406" t="s">
        <v>2085</v>
      </c>
      <c r="K406" t="s">
        <v>2366</v>
      </c>
      <c r="M406" t="s">
        <v>2498</v>
      </c>
      <c r="N406" t="s">
        <v>2727</v>
      </c>
      <c r="O406" t="s">
        <v>2728</v>
      </c>
      <c r="P406">
        <v>0</v>
      </c>
      <c r="Q406">
        <v>0</v>
      </c>
      <c r="R406" t="s">
        <v>2730</v>
      </c>
      <c r="S406" t="s">
        <v>2732</v>
      </c>
      <c r="T406" t="s">
        <v>2745</v>
      </c>
      <c r="U406" t="s">
        <v>3230</v>
      </c>
      <c r="W406" t="s">
        <v>2498</v>
      </c>
      <c r="X406" t="s">
        <v>2729</v>
      </c>
    </row>
    <row r="407" spans="1:24">
      <c r="A407">
        <f>HYPERLINK("https://www.philgeps.gov.ph/GEPSNONPILOT/Tender/SplashBidNoticeAbstractUI.aspx?menuIndex=3&amp;refID=7064704&amp;Result=3","7064704")</f>
        <v>0</v>
      </c>
      <c r="B407" t="s">
        <v>194</v>
      </c>
      <c r="C407" t="s">
        <v>728</v>
      </c>
      <c r="D407" t="s">
        <v>1013</v>
      </c>
      <c r="E407" t="s">
        <v>1452</v>
      </c>
      <c r="F407" t="s">
        <v>1712</v>
      </c>
      <c r="G407" t="s">
        <v>1717</v>
      </c>
      <c r="H407" t="s">
        <v>1722</v>
      </c>
      <c r="I407" t="s">
        <v>1730</v>
      </c>
      <c r="J407" t="s">
        <v>2157</v>
      </c>
      <c r="K407" t="s">
        <v>2367</v>
      </c>
      <c r="M407" t="s">
        <v>2585</v>
      </c>
      <c r="N407" t="s">
        <v>2727</v>
      </c>
      <c r="O407" t="s">
        <v>2728</v>
      </c>
      <c r="P407">
        <v>0</v>
      </c>
      <c r="Q407">
        <v>0</v>
      </c>
      <c r="R407" t="s">
        <v>2730</v>
      </c>
      <c r="S407" t="s">
        <v>2732</v>
      </c>
      <c r="T407" t="s">
        <v>2763</v>
      </c>
      <c r="U407" t="s">
        <v>3231</v>
      </c>
      <c r="W407" t="s">
        <v>3581</v>
      </c>
      <c r="X407" t="s">
        <v>2729</v>
      </c>
    </row>
    <row r="408" spans="1:24">
      <c r="A408">
        <f>HYPERLINK("https://www.philgeps.gov.ph/GEPSNONPILOT/Tender/SplashBidNoticeAbstractUI.aspx?menuIndex=3&amp;refID=7064694&amp;Result=3","7064694")</f>
        <v>0</v>
      </c>
      <c r="B408" t="s">
        <v>195</v>
      </c>
      <c r="C408" t="s">
        <v>729</v>
      </c>
      <c r="D408" t="s">
        <v>1014</v>
      </c>
      <c r="E408" t="s">
        <v>1453</v>
      </c>
      <c r="F408" t="s">
        <v>1712</v>
      </c>
      <c r="G408" t="s">
        <v>1717</v>
      </c>
      <c r="H408" t="s">
        <v>1722</v>
      </c>
      <c r="I408" t="s">
        <v>1742</v>
      </c>
      <c r="J408" t="s">
        <v>2158</v>
      </c>
      <c r="K408" t="s">
        <v>2358</v>
      </c>
      <c r="M408" t="s">
        <v>2586</v>
      </c>
      <c r="N408" t="s">
        <v>2727</v>
      </c>
      <c r="O408" t="s">
        <v>2728</v>
      </c>
      <c r="P408">
        <v>0</v>
      </c>
      <c r="Q408">
        <v>0</v>
      </c>
      <c r="R408" t="s">
        <v>2730</v>
      </c>
      <c r="S408" t="s">
        <v>2732</v>
      </c>
      <c r="T408" t="s">
        <v>2787</v>
      </c>
      <c r="U408" t="s">
        <v>3232</v>
      </c>
      <c r="W408" t="s">
        <v>2586</v>
      </c>
      <c r="X408" t="s">
        <v>2729</v>
      </c>
    </row>
    <row r="409" spans="1:24">
      <c r="A409">
        <f>HYPERLINK("https://www.philgeps.gov.ph/GEPSNONPILOT/Tender/SplashBidNoticeAbstractUI.aspx?menuIndex=3&amp;refID=7064695&amp;Result=3","7064695")</f>
        <v>0</v>
      </c>
      <c r="B409" t="s">
        <v>156</v>
      </c>
      <c r="C409" t="s">
        <v>730</v>
      </c>
      <c r="D409" t="s">
        <v>997</v>
      </c>
      <c r="E409" t="s">
        <v>1454</v>
      </c>
      <c r="F409" t="s">
        <v>1712</v>
      </c>
      <c r="G409" t="s">
        <v>1717</v>
      </c>
      <c r="H409" t="s">
        <v>1722</v>
      </c>
      <c r="I409" t="s">
        <v>1756</v>
      </c>
      <c r="J409" t="s">
        <v>2159</v>
      </c>
      <c r="K409" t="s">
        <v>2371</v>
      </c>
      <c r="M409" t="s">
        <v>2547</v>
      </c>
      <c r="N409" t="s">
        <v>2727</v>
      </c>
      <c r="O409" t="s">
        <v>2728</v>
      </c>
      <c r="P409">
        <v>0</v>
      </c>
      <c r="Q409">
        <v>0</v>
      </c>
      <c r="R409" t="s">
        <v>2730</v>
      </c>
      <c r="S409" t="s">
        <v>2732</v>
      </c>
      <c r="T409" t="s">
        <v>2746</v>
      </c>
      <c r="U409" t="s">
        <v>3233</v>
      </c>
      <c r="W409" t="s">
        <v>2547</v>
      </c>
      <c r="X409" t="s">
        <v>2729</v>
      </c>
    </row>
    <row r="410" spans="1:24">
      <c r="A410">
        <f>HYPERLINK("https://www.philgeps.gov.ph/GEPSNONPILOT/Tender/SplashBidNoticeAbstractUI.aspx?menuIndex=3&amp;refID=7064697&amp;Result=3","7064697")</f>
        <v>0</v>
      </c>
      <c r="B410" t="s">
        <v>166</v>
      </c>
      <c r="C410" t="s">
        <v>731</v>
      </c>
      <c r="D410" t="s">
        <v>1021</v>
      </c>
      <c r="E410" t="s">
        <v>1455</v>
      </c>
      <c r="F410" t="s">
        <v>1712</v>
      </c>
      <c r="G410" t="s">
        <v>1716</v>
      </c>
      <c r="H410" t="s">
        <v>1722</v>
      </c>
      <c r="I410" t="s">
        <v>1727</v>
      </c>
      <c r="J410" t="s">
        <v>2160</v>
      </c>
      <c r="K410" t="s">
        <v>2366</v>
      </c>
      <c r="M410" t="s">
        <v>2557</v>
      </c>
      <c r="N410" t="s">
        <v>2727</v>
      </c>
      <c r="O410" t="s">
        <v>2728</v>
      </c>
      <c r="P410">
        <v>0</v>
      </c>
      <c r="Q410">
        <v>0</v>
      </c>
      <c r="R410" t="s">
        <v>2730</v>
      </c>
      <c r="S410" t="s">
        <v>2732</v>
      </c>
      <c r="T410" t="s">
        <v>2757</v>
      </c>
      <c r="U410" t="s">
        <v>3193</v>
      </c>
      <c r="V410" t="s">
        <v>3528</v>
      </c>
      <c r="W410" t="s">
        <v>2557</v>
      </c>
      <c r="X410" t="s">
        <v>2729</v>
      </c>
    </row>
    <row r="411" spans="1:24">
      <c r="A411">
        <f>HYPERLINK("https://www.philgeps.gov.ph/GEPSNONPILOT/Tender/SplashBidNoticeAbstractUI.aspx?menuIndex=3&amp;refID=7064701&amp;Result=3","7064701")</f>
        <v>0</v>
      </c>
      <c r="B411" t="s">
        <v>107</v>
      </c>
      <c r="C411" t="s">
        <v>732</v>
      </c>
      <c r="D411" t="s">
        <v>998</v>
      </c>
      <c r="E411" t="s">
        <v>1456</v>
      </c>
      <c r="F411" t="s">
        <v>1712</v>
      </c>
      <c r="G411" t="s">
        <v>1718</v>
      </c>
      <c r="H411" t="s">
        <v>1722</v>
      </c>
      <c r="I411" t="s">
        <v>1728</v>
      </c>
      <c r="J411" t="s">
        <v>2161</v>
      </c>
      <c r="K411" t="s">
        <v>2366</v>
      </c>
      <c r="M411" t="s">
        <v>2498</v>
      </c>
      <c r="N411" t="s">
        <v>2727</v>
      </c>
      <c r="O411" t="s">
        <v>2728</v>
      </c>
      <c r="P411">
        <v>0</v>
      </c>
      <c r="Q411">
        <v>0</v>
      </c>
      <c r="R411" t="s">
        <v>2730</v>
      </c>
      <c r="S411" t="s">
        <v>2732</v>
      </c>
      <c r="T411" t="s">
        <v>2745</v>
      </c>
      <c r="U411" t="s">
        <v>3234</v>
      </c>
      <c r="W411" t="s">
        <v>2498</v>
      </c>
      <c r="X411" t="s">
        <v>2729</v>
      </c>
    </row>
    <row r="412" spans="1:24">
      <c r="A412">
        <f>HYPERLINK("https://www.philgeps.gov.ph/GEPSNONPILOT/Tender/SplashBidNoticeAbstractUI.aspx?menuIndex=3&amp;refID=7064693&amp;Result=3","7064693")</f>
        <v>0</v>
      </c>
      <c r="B412" t="s">
        <v>185</v>
      </c>
      <c r="C412" t="s">
        <v>733</v>
      </c>
      <c r="D412" t="s">
        <v>1043</v>
      </c>
      <c r="E412" t="s">
        <v>1457</v>
      </c>
      <c r="F412" t="s">
        <v>1712</v>
      </c>
      <c r="G412" t="s">
        <v>1717</v>
      </c>
      <c r="H412" t="s">
        <v>1722</v>
      </c>
      <c r="I412" t="s">
        <v>1727</v>
      </c>
      <c r="J412" t="s">
        <v>2162</v>
      </c>
      <c r="K412" t="s">
        <v>2360</v>
      </c>
      <c r="M412" t="s">
        <v>2576</v>
      </c>
      <c r="N412" t="s">
        <v>2727</v>
      </c>
      <c r="O412" t="s">
        <v>2728</v>
      </c>
      <c r="P412">
        <v>0</v>
      </c>
      <c r="Q412">
        <v>0</v>
      </c>
      <c r="R412" t="s">
        <v>2730</v>
      </c>
      <c r="S412" t="s">
        <v>2732</v>
      </c>
      <c r="T412" t="s">
        <v>2817</v>
      </c>
      <c r="U412" t="s">
        <v>3235</v>
      </c>
      <c r="W412" t="s">
        <v>2576</v>
      </c>
      <c r="X412" t="s">
        <v>2729</v>
      </c>
    </row>
    <row r="413" spans="1:24">
      <c r="A413">
        <f>HYPERLINK("https://www.philgeps.gov.ph/GEPSNONPILOT/Tender/SplashBidNoticeAbstractUI.aspx?menuIndex=3&amp;refID=7064699&amp;Result=3","7064699")</f>
        <v>0</v>
      </c>
      <c r="B413" t="s">
        <v>171</v>
      </c>
      <c r="C413" t="s">
        <v>734</v>
      </c>
      <c r="E413" t="s">
        <v>1458</v>
      </c>
      <c r="F413" t="s">
        <v>1712</v>
      </c>
      <c r="G413" t="s">
        <v>1716</v>
      </c>
      <c r="H413" t="s">
        <v>1723</v>
      </c>
      <c r="I413" t="s">
        <v>1729</v>
      </c>
      <c r="J413" t="s">
        <v>2163</v>
      </c>
      <c r="K413" t="s">
        <v>2367</v>
      </c>
      <c r="M413" t="s">
        <v>2562</v>
      </c>
      <c r="N413" t="s">
        <v>2727</v>
      </c>
      <c r="O413" t="s">
        <v>2728</v>
      </c>
      <c r="P413">
        <v>0</v>
      </c>
      <c r="Q413">
        <v>0</v>
      </c>
      <c r="R413" t="s">
        <v>2730</v>
      </c>
      <c r="S413" t="s">
        <v>2732</v>
      </c>
      <c r="T413" t="s">
        <v>2821</v>
      </c>
      <c r="U413" t="s">
        <v>3236</v>
      </c>
      <c r="V413" t="s">
        <v>3529</v>
      </c>
      <c r="W413" t="s">
        <v>2562</v>
      </c>
      <c r="X413" t="s">
        <v>2729</v>
      </c>
    </row>
    <row r="414" spans="1:24">
      <c r="A414">
        <f>HYPERLINK("https://www.philgeps.gov.ph/GEPSNONPILOT/Tender/SplashBidNoticeAbstractUI.aspx?menuIndex=3&amp;refID=7064690&amp;Result=3","7064690")</f>
        <v>0</v>
      </c>
      <c r="B414" t="s">
        <v>196</v>
      </c>
      <c r="C414" t="s">
        <v>735</v>
      </c>
      <c r="D414" t="s">
        <v>1043</v>
      </c>
      <c r="E414" t="s">
        <v>1459</v>
      </c>
      <c r="F414" t="s">
        <v>1712</v>
      </c>
      <c r="G414" t="s">
        <v>1718</v>
      </c>
      <c r="H414" t="s">
        <v>1723</v>
      </c>
      <c r="I414" t="s">
        <v>1781</v>
      </c>
      <c r="J414" t="s">
        <v>2123</v>
      </c>
      <c r="K414" t="s">
        <v>2367</v>
      </c>
      <c r="M414" t="s">
        <v>2587</v>
      </c>
      <c r="N414" t="s">
        <v>2727</v>
      </c>
      <c r="O414" t="s">
        <v>2728</v>
      </c>
      <c r="P414">
        <v>0</v>
      </c>
      <c r="Q414">
        <v>0</v>
      </c>
      <c r="R414" t="s">
        <v>2730</v>
      </c>
      <c r="S414" t="s">
        <v>2732</v>
      </c>
      <c r="T414" t="s">
        <v>2749</v>
      </c>
      <c r="U414" t="s">
        <v>3237</v>
      </c>
      <c r="W414" t="s">
        <v>2587</v>
      </c>
      <c r="X414" t="s">
        <v>2729</v>
      </c>
    </row>
    <row r="415" spans="1:24">
      <c r="A415">
        <f>HYPERLINK("https://www.philgeps.gov.ph/GEPSNONPILOT/Tender/SplashBidNoticeAbstractUI.aspx?menuIndex=3&amp;refID=7064702&amp;Result=3","7064702")</f>
        <v>0</v>
      </c>
      <c r="B415" t="s">
        <v>197</v>
      </c>
      <c r="C415" t="s">
        <v>736</v>
      </c>
      <c r="D415" t="s">
        <v>1005</v>
      </c>
      <c r="E415" t="s">
        <v>1460</v>
      </c>
      <c r="F415" t="s">
        <v>1712</v>
      </c>
      <c r="G415" t="s">
        <v>1716</v>
      </c>
      <c r="H415" t="s">
        <v>1722</v>
      </c>
      <c r="I415" t="s">
        <v>1763</v>
      </c>
      <c r="J415" t="s">
        <v>2018</v>
      </c>
      <c r="K415" t="s">
        <v>2366</v>
      </c>
      <c r="M415" t="s">
        <v>2588</v>
      </c>
      <c r="N415" t="s">
        <v>2727</v>
      </c>
      <c r="O415" t="s">
        <v>2728</v>
      </c>
      <c r="P415">
        <v>0</v>
      </c>
      <c r="Q415">
        <v>0</v>
      </c>
      <c r="R415" t="s">
        <v>2730</v>
      </c>
      <c r="S415" t="s">
        <v>2732</v>
      </c>
      <c r="T415" t="s">
        <v>2765</v>
      </c>
      <c r="U415" t="s">
        <v>3238</v>
      </c>
      <c r="W415" t="s">
        <v>2588</v>
      </c>
      <c r="X415" t="s">
        <v>2729</v>
      </c>
    </row>
    <row r="416" spans="1:24">
      <c r="A416">
        <f>HYPERLINK("https://www.philgeps.gov.ph/GEPSNONPILOT/Tender/SplashBidNoticeAbstractUI.aspx?menuIndex=3&amp;refID=7064689&amp;Result=3","7064689")</f>
        <v>0</v>
      </c>
      <c r="B416" t="s">
        <v>166</v>
      </c>
      <c r="C416" t="s">
        <v>737</v>
      </c>
      <c r="D416" t="s">
        <v>1021</v>
      </c>
      <c r="E416" t="s">
        <v>1461</v>
      </c>
      <c r="F416" t="s">
        <v>1712</v>
      </c>
      <c r="G416" t="s">
        <v>1716</v>
      </c>
      <c r="H416" t="s">
        <v>1722</v>
      </c>
      <c r="I416" t="s">
        <v>1727</v>
      </c>
      <c r="J416" t="s">
        <v>2164</v>
      </c>
      <c r="K416" t="s">
        <v>2366</v>
      </c>
      <c r="M416" t="s">
        <v>2557</v>
      </c>
      <c r="N416" t="s">
        <v>2727</v>
      </c>
      <c r="O416" t="s">
        <v>2728</v>
      </c>
      <c r="P416">
        <v>0</v>
      </c>
      <c r="Q416">
        <v>0</v>
      </c>
      <c r="R416" t="s">
        <v>2730</v>
      </c>
      <c r="S416" t="s">
        <v>2732</v>
      </c>
      <c r="T416" t="s">
        <v>2757</v>
      </c>
      <c r="U416" t="s">
        <v>3193</v>
      </c>
      <c r="V416" t="s">
        <v>3528</v>
      </c>
      <c r="W416" t="s">
        <v>2557</v>
      </c>
      <c r="X416" t="s">
        <v>2729</v>
      </c>
    </row>
    <row r="417" spans="1:24">
      <c r="A417">
        <f>HYPERLINK("https://www.philgeps.gov.ph/GEPSNONPILOT/Tender/SplashBidNoticeAbstractUI.aspx?menuIndex=3&amp;refID=7064692&amp;Result=3","7064692")</f>
        <v>0</v>
      </c>
      <c r="B417" t="s">
        <v>198</v>
      </c>
      <c r="C417" t="s">
        <v>738</v>
      </c>
      <c r="D417" t="s">
        <v>1022</v>
      </c>
      <c r="E417" t="s">
        <v>1462</v>
      </c>
      <c r="F417" t="s">
        <v>1712</v>
      </c>
      <c r="G417" t="s">
        <v>1717</v>
      </c>
      <c r="H417" t="s">
        <v>1722</v>
      </c>
      <c r="I417" t="s">
        <v>1744</v>
      </c>
      <c r="J417" t="s">
        <v>2165</v>
      </c>
      <c r="K417" t="s">
        <v>2359</v>
      </c>
      <c r="M417" t="s">
        <v>2589</v>
      </c>
      <c r="N417" t="s">
        <v>2727</v>
      </c>
      <c r="O417" t="s">
        <v>2728</v>
      </c>
      <c r="P417">
        <v>0</v>
      </c>
      <c r="Q417">
        <v>0</v>
      </c>
      <c r="R417" t="s">
        <v>2730</v>
      </c>
      <c r="S417" t="s">
        <v>2732</v>
      </c>
      <c r="T417" t="s">
        <v>2737</v>
      </c>
      <c r="U417" t="s">
        <v>3239</v>
      </c>
      <c r="V417" t="s">
        <v>3537</v>
      </c>
      <c r="W417" t="s">
        <v>2589</v>
      </c>
      <c r="X417" t="s">
        <v>2729</v>
      </c>
    </row>
    <row r="418" spans="1:24">
      <c r="A418">
        <f>HYPERLINK("https://www.philgeps.gov.ph/GEPSNONPILOT/Tender/SplashBidNoticeAbstractUI.aspx?menuIndex=3&amp;refID=7064706&amp;Result=3","7064706")</f>
        <v>0</v>
      </c>
      <c r="B418" t="s">
        <v>199</v>
      </c>
      <c r="C418" t="s">
        <v>739</v>
      </c>
      <c r="D418" t="s">
        <v>1055</v>
      </c>
      <c r="E418" t="s">
        <v>1463</v>
      </c>
      <c r="F418" t="s">
        <v>1712</v>
      </c>
      <c r="G418" t="s">
        <v>1717</v>
      </c>
      <c r="H418" t="s">
        <v>1722</v>
      </c>
      <c r="I418" t="s">
        <v>1758</v>
      </c>
      <c r="J418" t="s">
        <v>2166</v>
      </c>
      <c r="K418" t="s">
        <v>2366</v>
      </c>
      <c r="M418" t="s">
        <v>2590</v>
      </c>
      <c r="N418" t="s">
        <v>2727</v>
      </c>
      <c r="O418" t="s">
        <v>2728</v>
      </c>
      <c r="P418">
        <v>0</v>
      </c>
      <c r="Q418">
        <v>0</v>
      </c>
      <c r="R418" t="s">
        <v>2730</v>
      </c>
      <c r="S418" t="s">
        <v>2732</v>
      </c>
      <c r="T418" t="s">
        <v>2778</v>
      </c>
      <c r="U418" t="s">
        <v>3240</v>
      </c>
      <c r="V418" t="s">
        <v>3538</v>
      </c>
      <c r="W418" t="s">
        <v>2590</v>
      </c>
      <c r="X418" t="s">
        <v>2729</v>
      </c>
    </row>
    <row r="419" spans="1:24">
      <c r="A419">
        <f>HYPERLINK("https://www.philgeps.gov.ph/GEPSNONPILOT/Tender/SplashBidNoticeAbstractUI.aspx?menuIndex=3&amp;refID=7064691&amp;Result=3","7064691")</f>
        <v>0</v>
      </c>
      <c r="B419" t="s">
        <v>200</v>
      </c>
      <c r="C419" t="s">
        <v>740</v>
      </c>
      <c r="D419" t="s">
        <v>998</v>
      </c>
      <c r="E419" t="s">
        <v>1464</v>
      </c>
      <c r="F419" t="s">
        <v>1712</v>
      </c>
      <c r="G419" t="s">
        <v>1717</v>
      </c>
      <c r="H419" t="s">
        <v>1722</v>
      </c>
      <c r="I419" t="s">
        <v>1728</v>
      </c>
      <c r="J419" t="s">
        <v>2167</v>
      </c>
      <c r="K419" t="s">
        <v>2358</v>
      </c>
      <c r="M419" t="s">
        <v>2591</v>
      </c>
      <c r="N419" t="s">
        <v>2727</v>
      </c>
      <c r="O419" t="s">
        <v>2728</v>
      </c>
      <c r="P419">
        <v>0</v>
      </c>
      <c r="Q419">
        <v>0</v>
      </c>
      <c r="R419" t="s">
        <v>2730</v>
      </c>
      <c r="S419" t="s">
        <v>2732</v>
      </c>
      <c r="T419" t="s">
        <v>2788</v>
      </c>
      <c r="U419" t="s">
        <v>3241</v>
      </c>
      <c r="W419" t="s">
        <v>2591</v>
      </c>
      <c r="X419" t="s">
        <v>2729</v>
      </c>
    </row>
    <row r="420" spans="1:24">
      <c r="A420">
        <f>HYPERLINK("https://www.philgeps.gov.ph/GEPSNONPILOT/Tender/SplashBidNoticeAbstractUI.aspx?menuIndex=3&amp;refID=7064709&amp;Result=3","7064709")</f>
        <v>0</v>
      </c>
      <c r="B420" t="s">
        <v>166</v>
      </c>
      <c r="C420" t="s">
        <v>741</v>
      </c>
      <c r="D420" t="s">
        <v>1021</v>
      </c>
      <c r="E420" t="s">
        <v>1465</v>
      </c>
      <c r="F420" t="s">
        <v>1712</v>
      </c>
      <c r="G420" t="s">
        <v>1716</v>
      </c>
      <c r="H420" t="s">
        <v>1722</v>
      </c>
      <c r="I420" t="s">
        <v>1727</v>
      </c>
      <c r="J420" t="s">
        <v>2168</v>
      </c>
      <c r="K420" t="s">
        <v>2366</v>
      </c>
      <c r="M420" t="s">
        <v>2557</v>
      </c>
      <c r="N420" t="s">
        <v>2727</v>
      </c>
      <c r="O420" t="s">
        <v>2728</v>
      </c>
      <c r="P420">
        <v>0</v>
      </c>
      <c r="Q420">
        <v>0</v>
      </c>
      <c r="R420" t="s">
        <v>2730</v>
      </c>
      <c r="S420" t="s">
        <v>2732</v>
      </c>
      <c r="T420" t="s">
        <v>2757</v>
      </c>
      <c r="U420" t="s">
        <v>3193</v>
      </c>
      <c r="V420" t="s">
        <v>3528</v>
      </c>
      <c r="W420" t="s">
        <v>2557</v>
      </c>
      <c r="X420" t="s">
        <v>2729</v>
      </c>
    </row>
    <row r="421" spans="1:24">
      <c r="A421">
        <f>HYPERLINK("https://www.philgeps.gov.ph/GEPSNONPILOT/Tender/SplashBidNoticeAbstractUI.aspx?menuIndex=3&amp;refID=7064711&amp;Result=3","7064711")</f>
        <v>0</v>
      </c>
      <c r="B421" t="s">
        <v>201</v>
      </c>
      <c r="C421" t="s">
        <v>742</v>
      </c>
      <c r="D421" t="s">
        <v>1046</v>
      </c>
      <c r="E421" t="s">
        <v>1466</v>
      </c>
      <c r="F421" t="s">
        <v>1712</v>
      </c>
      <c r="G421" t="s">
        <v>1716</v>
      </c>
      <c r="H421" t="s">
        <v>1722</v>
      </c>
      <c r="I421" t="s">
        <v>1728</v>
      </c>
      <c r="J421" t="s">
        <v>2169</v>
      </c>
      <c r="K421" t="s">
        <v>2366</v>
      </c>
      <c r="M421" t="s">
        <v>2592</v>
      </c>
      <c r="N421" t="s">
        <v>2727</v>
      </c>
      <c r="O421" t="s">
        <v>2728</v>
      </c>
      <c r="P421">
        <v>0</v>
      </c>
      <c r="Q421">
        <v>0</v>
      </c>
      <c r="R421" t="s">
        <v>2730</v>
      </c>
      <c r="S421" t="s">
        <v>2732</v>
      </c>
      <c r="T421" t="s">
        <v>2753</v>
      </c>
      <c r="U421" t="s">
        <v>3242</v>
      </c>
      <c r="W421" t="s">
        <v>2592</v>
      </c>
      <c r="X421" t="s">
        <v>2729</v>
      </c>
    </row>
    <row r="422" spans="1:24">
      <c r="A422">
        <f>HYPERLINK("https://www.philgeps.gov.ph/GEPSNONPILOT/Tender/SplashBidNoticeAbstractUI.aspx?menuIndex=3&amp;refID=7064705&amp;Result=3","7064705")</f>
        <v>0</v>
      </c>
      <c r="B422" t="s">
        <v>202</v>
      </c>
      <c r="C422" t="s">
        <v>743</v>
      </c>
      <c r="D422" t="s">
        <v>1014</v>
      </c>
      <c r="E422" t="s">
        <v>1467</v>
      </c>
      <c r="F422" t="s">
        <v>1712</v>
      </c>
      <c r="G422" t="s">
        <v>1717</v>
      </c>
      <c r="H422" t="s">
        <v>1722</v>
      </c>
      <c r="I422" t="s">
        <v>1765</v>
      </c>
      <c r="J422" t="s">
        <v>1818</v>
      </c>
      <c r="K422" t="s">
        <v>2359</v>
      </c>
      <c r="M422" t="s">
        <v>2593</v>
      </c>
      <c r="N422" t="s">
        <v>2727</v>
      </c>
      <c r="O422" t="s">
        <v>2728</v>
      </c>
      <c r="P422">
        <v>0</v>
      </c>
      <c r="Q422">
        <v>0</v>
      </c>
      <c r="R422" t="s">
        <v>2730</v>
      </c>
      <c r="S422" t="s">
        <v>2732</v>
      </c>
      <c r="T422" t="s">
        <v>2778</v>
      </c>
      <c r="U422" t="s">
        <v>3243</v>
      </c>
      <c r="V422" t="s">
        <v>3539</v>
      </c>
      <c r="W422" t="s">
        <v>2593</v>
      </c>
      <c r="X422" t="s">
        <v>2729</v>
      </c>
    </row>
    <row r="423" spans="1:24">
      <c r="A423">
        <f>HYPERLINK("https://www.philgeps.gov.ph/GEPSNONPILOT/Tender/SplashBidNoticeAbstractUI.aspx?menuIndex=3&amp;refID=7064720&amp;Result=3","7064720")</f>
        <v>0</v>
      </c>
      <c r="B423" t="s">
        <v>192</v>
      </c>
      <c r="C423" t="s">
        <v>744</v>
      </c>
      <c r="D423" t="s">
        <v>1022</v>
      </c>
      <c r="E423" t="s">
        <v>1070</v>
      </c>
      <c r="F423" t="s">
        <v>1712</v>
      </c>
      <c r="G423" t="s">
        <v>1716</v>
      </c>
      <c r="H423" t="s">
        <v>1722</v>
      </c>
      <c r="I423" t="s">
        <v>1726</v>
      </c>
      <c r="J423" t="s">
        <v>2170</v>
      </c>
      <c r="K423" t="s">
        <v>2367</v>
      </c>
      <c r="M423" t="s">
        <v>2583</v>
      </c>
      <c r="N423" t="s">
        <v>2727</v>
      </c>
      <c r="O423" t="s">
        <v>2728</v>
      </c>
      <c r="P423">
        <v>0</v>
      </c>
      <c r="Q423">
        <v>5</v>
      </c>
      <c r="R423" t="s">
        <v>2730</v>
      </c>
      <c r="S423" t="s">
        <v>2732</v>
      </c>
      <c r="T423" t="s">
        <v>2777</v>
      </c>
      <c r="U423" t="s">
        <v>3244</v>
      </c>
      <c r="V423" t="s">
        <v>3540</v>
      </c>
      <c r="W423" t="s">
        <v>2583</v>
      </c>
      <c r="X423" t="s">
        <v>2729</v>
      </c>
    </row>
    <row r="424" spans="1:24">
      <c r="A424">
        <f>HYPERLINK("https://www.philgeps.gov.ph/GEPSNONPILOT/Tender/SplashBidNoticeAbstractUI.aspx?menuIndex=3&amp;refID=7064710&amp;Result=3","7064710")</f>
        <v>0</v>
      </c>
      <c r="B424" t="s">
        <v>181</v>
      </c>
      <c r="C424" t="s">
        <v>745</v>
      </c>
      <c r="D424" t="s">
        <v>1025</v>
      </c>
      <c r="E424" t="s">
        <v>1468</v>
      </c>
      <c r="F424" t="s">
        <v>1712</v>
      </c>
      <c r="G424" t="s">
        <v>1716</v>
      </c>
      <c r="H424" t="s">
        <v>1722</v>
      </c>
      <c r="I424" t="s">
        <v>1727</v>
      </c>
      <c r="J424" t="s">
        <v>2171</v>
      </c>
      <c r="K424" t="s">
        <v>2366</v>
      </c>
      <c r="M424" t="s">
        <v>2572</v>
      </c>
      <c r="N424" t="s">
        <v>2727</v>
      </c>
      <c r="O424" t="s">
        <v>2728</v>
      </c>
      <c r="P424">
        <v>0</v>
      </c>
      <c r="Q424">
        <v>0</v>
      </c>
      <c r="R424" t="s">
        <v>2730</v>
      </c>
      <c r="S424" t="s">
        <v>2732</v>
      </c>
      <c r="T424" t="s">
        <v>2767</v>
      </c>
      <c r="U424" t="s">
        <v>3245</v>
      </c>
      <c r="V424" t="s">
        <v>3533</v>
      </c>
      <c r="W424" t="s">
        <v>2572</v>
      </c>
      <c r="X424" t="s">
        <v>2729</v>
      </c>
    </row>
    <row r="425" spans="1:24">
      <c r="A425">
        <f>HYPERLINK("https://www.philgeps.gov.ph/GEPSNONPILOT/Tender/SplashBidNoticeAbstractUI.aspx?menuIndex=3&amp;refID=7064714&amp;Result=3","7064714")</f>
        <v>0</v>
      </c>
      <c r="B425" t="s">
        <v>203</v>
      </c>
      <c r="C425" t="s">
        <v>746</v>
      </c>
      <c r="E425" t="s">
        <v>1469</v>
      </c>
      <c r="F425" t="s">
        <v>1712</v>
      </c>
      <c r="G425" t="s">
        <v>1717</v>
      </c>
      <c r="H425" t="s">
        <v>1722</v>
      </c>
      <c r="I425" t="s">
        <v>1773</v>
      </c>
      <c r="J425" t="s">
        <v>2172</v>
      </c>
      <c r="K425" t="s">
        <v>2367</v>
      </c>
      <c r="M425" t="s">
        <v>2594</v>
      </c>
      <c r="N425" t="s">
        <v>2727</v>
      </c>
      <c r="O425" t="s">
        <v>2728</v>
      </c>
      <c r="P425">
        <v>0</v>
      </c>
      <c r="Q425">
        <v>0</v>
      </c>
      <c r="R425" t="s">
        <v>2730</v>
      </c>
      <c r="S425" t="s">
        <v>2732</v>
      </c>
      <c r="T425" t="s">
        <v>2825</v>
      </c>
      <c r="U425" t="s">
        <v>3246</v>
      </c>
      <c r="V425" t="s">
        <v>3541</v>
      </c>
      <c r="W425" t="s">
        <v>2594</v>
      </c>
      <c r="X425" t="s">
        <v>2729</v>
      </c>
    </row>
    <row r="426" spans="1:24">
      <c r="A426">
        <f>HYPERLINK("https://www.philgeps.gov.ph/GEPSNONPILOT/Tender/SplashBidNoticeAbstractUI.aspx?menuIndex=3&amp;refID=7064728&amp;Result=3","7064728")</f>
        <v>0</v>
      </c>
      <c r="B426" t="s">
        <v>204</v>
      </c>
      <c r="C426" t="s">
        <v>747</v>
      </c>
      <c r="D426" t="s">
        <v>1008</v>
      </c>
      <c r="E426" t="s">
        <v>1470</v>
      </c>
      <c r="F426" t="s">
        <v>1712</v>
      </c>
      <c r="G426" t="s">
        <v>1716</v>
      </c>
      <c r="H426" t="s">
        <v>1723</v>
      </c>
      <c r="I426" t="s">
        <v>1784</v>
      </c>
      <c r="J426" t="s">
        <v>2173</v>
      </c>
      <c r="K426" t="s">
        <v>2365</v>
      </c>
      <c r="M426" t="s">
        <v>2595</v>
      </c>
      <c r="N426" t="s">
        <v>2727</v>
      </c>
      <c r="O426" t="s">
        <v>2728</v>
      </c>
      <c r="P426">
        <v>0</v>
      </c>
      <c r="Q426">
        <v>0</v>
      </c>
      <c r="R426" t="s">
        <v>2730</v>
      </c>
      <c r="S426" t="s">
        <v>2732</v>
      </c>
      <c r="T426" t="s">
        <v>2826</v>
      </c>
      <c r="U426" t="s">
        <v>3247</v>
      </c>
      <c r="W426" t="s">
        <v>2595</v>
      </c>
      <c r="X426" t="s">
        <v>2729</v>
      </c>
    </row>
    <row r="427" spans="1:24">
      <c r="A427">
        <f>HYPERLINK("https://www.philgeps.gov.ph/GEPSNONPILOT/Tender/SplashBidNoticeAbstractUI.aspx?menuIndex=3&amp;refID=7064725&amp;Result=3","7064725")</f>
        <v>0</v>
      </c>
      <c r="B427" t="s">
        <v>205</v>
      </c>
      <c r="C427" t="s">
        <v>716</v>
      </c>
      <c r="D427" t="s">
        <v>994</v>
      </c>
      <c r="E427" t="s">
        <v>1471</v>
      </c>
      <c r="F427" t="s">
        <v>1712</v>
      </c>
      <c r="G427" t="s">
        <v>1716</v>
      </c>
      <c r="H427" t="s">
        <v>1723</v>
      </c>
      <c r="I427" t="s">
        <v>1729</v>
      </c>
      <c r="J427" t="s">
        <v>1874</v>
      </c>
      <c r="K427" t="s">
        <v>2390</v>
      </c>
      <c r="M427" t="s">
        <v>2596</v>
      </c>
      <c r="N427" t="s">
        <v>2727</v>
      </c>
      <c r="O427" t="s">
        <v>2728</v>
      </c>
      <c r="P427">
        <v>0</v>
      </c>
      <c r="Q427">
        <v>0</v>
      </c>
      <c r="R427" t="s">
        <v>2730</v>
      </c>
      <c r="S427" t="s">
        <v>2732</v>
      </c>
      <c r="T427" t="s">
        <v>2747</v>
      </c>
      <c r="U427" t="s">
        <v>3248</v>
      </c>
      <c r="W427" t="s">
        <v>2596</v>
      </c>
      <c r="X427" t="s">
        <v>2729</v>
      </c>
    </row>
    <row r="428" spans="1:24">
      <c r="A428">
        <f>HYPERLINK("https://www.philgeps.gov.ph/GEPSNONPILOT/Tender/SplashBidNoticeAbstractUI.aspx?menuIndex=3&amp;refID=7064719&amp;Result=3","7064719")</f>
        <v>0</v>
      </c>
      <c r="B428" t="s">
        <v>185</v>
      </c>
      <c r="C428" t="s">
        <v>748</v>
      </c>
      <c r="D428" t="s">
        <v>1043</v>
      </c>
      <c r="E428" t="s">
        <v>1472</v>
      </c>
      <c r="F428" t="s">
        <v>1712</v>
      </c>
      <c r="G428" t="s">
        <v>1717</v>
      </c>
      <c r="H428" t="s">
        <v>1722</v>
      </c>
      <c r="I428" t="s">
        <v>1745</v>
      </c>
      <c r="J428" t="s">
        <v>2174</v>
      </c>
      <c r="K428" t="s">
        <v>2360</v>
      </c>
      <c r="M428" t="s">
        <v>2576</v>
      </c>
      <c r="N428" t="s">
        <v>2727</v>
      </c>
      <c r="O428" t="s">
        <v>2728</v>
      </c>
      <c r="P428">
        <v>0</v>
      </c>
      <c r="Q428">
        <v>0</v>
      </c>
      <c r="R428" t="s">
        <v>2730</v>
      </c>
      <c r="S428" t="s">
        <v>2732</v>
      </c>
      <c r="T428" t="s">
        <v>2817</v>
      </c>
      <c r="U428" t="s">
        <v>3249</v>
      </c>
      <c r="W428" t="s">
        <v>2576</v>
      </c>
      <c r="X428" t="s">
        <v>2729</v>
      </c>
    </row>
    <row r="429" spans="1:24">
      <c r="A429">
        <f>HYPERLINK("https://www.philgeps.gov.ph/GEPSNONPILOT/Tender/SplashBidNoticeAbstractUI.aspx?menuIndex=3&amp;refID=7064723&amp;Result=3","7064723")</f>
        <v>0</v>
      </c>
      <c r="B429" t="s">
        <v>206</v>
      </c>
      <c r="C429" t="s">
        <v>749</v>
      </c>
      <c r="E429" t="s">
        <v>1473</v>
      </c>
      <c r="F429" t="s">
        <v>1712</v>
      </c>
      <c r="G429" t="s">
        <v>1717</v>
      </c>
      <c r="H429" t="s">
        <v>1722</v>
      </c>
      <c r="I429" t="s">
        <v>1750</v>
      </c>
      <c r="J429" t="s">
        <v>2018</v>
      </c>
      <c r="K429" t="s">
        <v>2358</v>
      </c>
      <c r="M429" t="s">
        <v>2597</v>
      </c>
      <c r="N429" t="s">
        <v>2727</v>
      </c>
      <c r="O429" t="s">
        <v>2728</v>
      </c>
      <c r="P429">
        <v>0</v>
      </c>
      <c r="Q429">
        <v>0</v>
      </c>
      <c r="R429" t="s">
        <v>2730</v>
      </c>
      <c r="S429" t="s">
        <v>2732</v>
      </c>
      <c r="T429" t="s">
        <v>2741</v>
      </c>
      <c r="U429" t="s">
        <v>3250</v>
      </c>
      <c r="W429" t="s">
        <v>2597</v>
      </c>
      <c r="X429" t="s">
        <v>2729</v>
      </c>
    </row>
    <row r="430" spans="1:24">
      <c r="A430">
        <f>HYPERLINK("https://www.philgeps.gov.ph/GEPSNONPILOT/Tender/SplashBidNoticeAbstractUI.aspx?menuIndex=3&amp;refID=7064722&amp;Result=3","7064722")</f>
        <v>0</v>
      </c>
      <c r="B430" t="s">
        <v>207</v>
      </c>
      <c r="C430" t="s">
        <v>750</v>
      </c>
      <c r="D430" t="s">
        <v>1021</v>
      </c>
      <c r="E430" t="s">
        <v>1474</v>
      </c>
      <c r="F430" t="s">
        <v>1712</v>
      </c>
      <c r="G430" t="s">
        <v>1717</v>
      </c>
      <c r="H430" t="s">
        <v>1722</v>
      </c>
      <c r="I430" t="s">
        <v>1727</v>
      </c>
      <c r="J430" t="s">
        <v>1874</v>
      </c>
      <c r="K430" t="s">
        <v>2366</v>
      </c>
      <c r="M430" t="s">
        <v>2598</v>
      </c>
      <c r="N430" t="s">
        <v>2727</v>
      </c>
      <c r="O430" t="s">
        <v>2728</v>
      </c>
      <c r="P430">
        <v>0</v>
      </c>
      <c r="Q430">
        <v>0</v>
      </c>
      <c r="R430" t="s">
        <v>2730</v>
      </c>
      <c r="S430" t="s">
        <v>2732</v>
      </c>
      <c r="T430" t="s">
        <v>2827</v>
      </c>
      <c r="U430" t="s">
        <v>3251</v>
      </c>
      <c r="W430" t="s">
        <v>2598</v>
      </c>
      <c r="X430" t="s">
        <v>2729</v>
      </c>
    </row>
    <row r="431" spans="1:24">
      <c r="A431">
        <f>HYPERLINK("https://www.philgeps.gov.ph/GEPSNONPILOT/Tender/SplashBidNoticeAbstractUI.aspx?menuIndex=3&amp;refID=7064726&amp;Result=3","7064726")</f>
        <v>0</v>
      </c>
      <c r="B431" t="s">
        <v>166</v>
      </c>
      <c r="C431" t="s">
        <v>751</v>
      </c>
      <c r="D431" t="s">
        <v>1021</v>
      </c>
      <c r="E431" t="s">
        <v>1475</v>
      </c>
      <c r="F431" t="s">
        <v>1712</v>
      </c>
      <c r="G431" t="s">
        <v>1716</v>
      </c>
      <c r="H431" t="s">
        <v>1722</v>
      </c>
      <c r="I431" t="s">
        <v>1737</v>
      </c>
      <c r="J431" t="s">
        <v>2175</v>
      </c>
      <c r="K431" t="s">
        <v>2366</v>
      </c>
      <c r="M431" t="s">
        <v>2557</v>
      </c>
      <c r="N431" t="s">
        <v>2727</v>
      </c>
      <c r="O431" t="s">
        <v>2728</v>
      </c>
      <c r="P431">
        <v>0</v>
      </c>
      <c r="Q431">
        <v>0</v>
      </c>
      <c r="R431" t="s">
        <v>2730</v>
      </c>
      <c r="S431" t="s">
        <v>2732</v>
      </c>
      <c r="T431" t="s">
        <v>2757</v>
      </c>
      <c r="U431" t="s">
        <v>3193</v>
      </c>
      <c r="V431" t="s">
        <v>3528</v>
      </c>
      <c r="W431" t="s">
        <v>2557</v>
      </c>
      <c r="X431" t="s">
        <v>2729</v>
      </c>
    </row>
    <row r="432" spans="1:24">
      <c r="A432">
        <f>HYPERLINK("https://www.philgeps.gov.ph/GEPSNONPILOT/Tender/SplashBidNoticeAbstractUI.aspx?menuIndex=3&amp;refID=7064724&amp;Result=3","7064724")</f>
        <v>0</v>
      </c>
      <c r="B432" t="s">
        <v>187</v>
      </c>
      <c r="C432" t="s">
        <v>752</v>
      </c>
      <c r="D432" t="s">
        <v>1052</v>
      </c>
      <c r="E432" t="s">
        <v>1476</v>
      </c>
      <c r="F432" t="s">
        <v>1712</v>
      </c>
      <c r="G432" t="s">
        <v>1716</v>
      </c>
      <c r="H432" t="s">
        <v>1723</v>
      </c>
      <c r="I432" t="s">
        <v>1729</v>
      </c>
      <c r="J432" t="s">
        <v>1955</v>
      </c>
      <c r="K432" t="s">
        <v>2403</v>
      </c>
      <c r="M432" t="s">
        <v>2578</v>
      </c>
      <c r="N432" t="s">
        <v>2727</v>
      </c>
      <c r="O432" t="s">
        <v>2728</v>
      </c>
      <c r="P432">
        <v>0</v>
      </c>
      <c r="Q432">
        <v>0</v>
      </c>
      <c r="R432" t="s">
        <v>2730</v>
      </c>
      <c r="S432" t="s">
        <v>2732</v>
      </c>
      <c r="T432" t="s">
        <v>2792</v>
      </c>
      <c r="U432" t="s">
        <v>3252</v>
      </c>
      <c r="W432" t="s">
        <v>2578</v>
      </c>
      <c r="X432" t="s">
        <v>2729</v>
      </c>
    </row>
    <row r="433" spans="1:24">
      <c r="A433">
        <f>HYPERLINK("https://www.philgeps.gov.ph/GEPSNONPILOT/Tender/SplashBidNoticeAbstractUI.aspx?menuIndex=3&amp;refID=7064721&amp;Result=3","7064721")</f>
        <v>0</v>
      </c>
      <c r="B433" t="s">
        <v>158</v>
      </c>
      <c r="C433" t="s">
        <v>753</v>
      </c>
      <c r="D433" t="s">
        <v>1014</v>
      </c>
      <c r="E433" t="s">
        <v>1477</v>
      </c>
      <c r="F433" t="s">
        <v>1712</v>
      </c>
      <c r="G433" t="s">
        <v>1717</v>
      </c>
      <c r="H433" t="s">
        <v>1722</v>
      </c>
      <c r="I433" t="s">
        <v>1738</v>
      </c>
      <c r="J433" t="s">
        <v>2114</v>
      </c>
      <c r="K433" t="s">
        <v>2371</v>
      </c>
      <c r="M433" t="s">
        <v>2549</v>
      </c>
      <c r="N433" t="s">
        <v>2727</v>
      </c>
      <c r="O433" t="s">
        <v>2728</v>
      </c>
      <c r="P433">
        <v>0</v>
      </c>
      <c r="Q433">
        <v>0</v>
      </c>
      <c r="R433" t="s">
        <v>2730</v>
      </c>
      <c r="S433" t="s">
        <v>2732</v>
      </c>
      <c r="T433" t="s">
        <v>2791</v>
      </c>
      <c r="U433" t="s">
        <v>3181</v>
      </c>
      <c r="V433" t="s">
        <v>3526</v>
      </c>
      <c r="W433" t="s">
        <v>2549</v>
      </c>
      <c r="X433" t="s">
        <v>2729</v>
      </c>
    </row>
    <row r="434" spans="1:24">
      <c r="A434">
        <f>HYPERLINK("https://www.philgeps.gov.ph/GEPSNONPILOT/Tender/SplashBidNoticeAbstractUI.aspx?menuIndex=3&amp;refID=7064712&amp;Result=3","7064712")</f>
        <v>0</v>
      </c>
      <c r="B434" t="s">
        <v>208</v>
      </c>
      <c r="C434" t="s">
        <v>754</v>
      </c>
      <c r="D434" t="s">
        <v>1052</v>
      </c>
      <c r="E434" t="s">
        <v>1478</v>
      </c>
      <c r="F434" t="s">
        <v>1712</v>
      </c>
      <c r="G434" t="s">
        <v>1717</v>
      </c>
      <c r="H434" t="s">
        <v>1722</v>
      </c>
      <c r="I434" t="s">
        <v>1744</v>
      </c>
      <c r="J434" t="s">
        <v>2176</v>
      </c>
      <c r="K434" t="s">
        <v>2370</v>
      </c>
      <c r="M434" t="s">
        <v>2599</v>
      </c>
      <c r="N434" t="s">
        <v>2727</v>
      </c>
      <c r="O434" t="s">
        <v>2728</v>
      </c>
      <c r="P434">
        <v>0</v>
      </c>
      <c r="Q434">
        <v>0</v>
      </c>
      <c r="R434" t="s">
        <v>2730</v>
      </c>
      <c r="S434" t="s">
        <v>2732</v>
      </c>
      <c r="T434" t="s">
        <v>2828</v>
      </c>
      <c r="U434" t="s">
        <v>3253</v>
      </c>
      <c r="W434" t="s">
        <v>2599</v>
      </c>
      <c r="X434" t="s">
        <v>2729</v>
      </c>
    </row>
    <row r="435" spans="1:24">
      <c r="A435">
        <f>HYPERLINK("https://www.philgeps.gov.ph/GEPSNONPILOT/Tender/SplashBidNoticeAbstractUI.aspx?menuIndex=3&amp;refID=7064713&amp;Result=3","7064713")</f>
        <v>0</v>
      </c>
      <c r="B435" t="s">
        <v>209</v>
      </c>
      <c r="C435" t="s">
        <v>755</v>
      </c>
      <c r="D435" t="s">
        <v>1053</v>
      </c>
      <c r="E435" t="s">
        <v>1479</v>
      </c>
      <c r="F435" t="s">
        <v>1712</v>
      </c>
      <c r="G435" t="s">
        <v>1717</v>
      </c>
      <c r="H435" t="s">
        <v>1722</v>
      </c>
      <c r="I435" t="s">
        <v>1771</v>
      </c>
      <c r="J435" t="s">
        <v>2177</v>
      </c>
      <c r="K435" t="s">
        <v>2371</v>
      </c>
      <c r="M435" t="s">
        <v>2600</v>
      </c>
      <c r="N435" t="s">
        <v>2727</v>
      </c>
      <c r="O435" t="s">
        <v>2728</v>
      </c>
      <c r="P435">
        <v>0</v>
      </c>
      <c r="Q435">
        <v>0</v>
      </c>
      <c r="R435" t="s">
        <v>2730</v>
      </c>
      <c r="S435" t="s">
        <v>2732</v>
      </c>
      <c r="T435" t="s">
        <v>2749</v>
      </c>
      <c r="U435" t="s">
        <v>3254</v>
      </c>
      <c r="W435" t="s">
        <v>2600</v>
      </c>
      <c r="X435" t="s">
        <v>2729</v>
      </c>
    </row>
    <row r="436" spans="1:24">
      <c r="A436">
        <f>HYPERLINK("https://www.philgeps.gov.ph/GEPSNONPILOT/Tender/SplashBidNoticeAbstractUI.aspx?menuIndex=3&amp;refID=7064732&amp;Result=3","7064732")</f>
        <v>0</v>
      </c>
      <c r="B436" t="s">
        <v>84</v>
      </c>
      <c r="C436" t="s">
        <v>756</v>
      </c>
      <c r="D436" t="s">
        <v>1029</v>
      </c>
      <c r="E436" t="s">
        <v>1480</v>
      </c>
      <c r="F436" t="s">
        <v>1712</v>
      </c>
      <c r="G436" t="s">
        <v>1717</v>
      </c>
      <c r="H436" t="s">
        <v>1722</v>
      </c>
      <c r="I436" t="s">
        <v>1727</v>
      </c>
      <c r="J436" t="s">
        <v>2178</v>
      </c>
      <c r="K436" t="s">
        <v>2370</v>
      </c>
      <c r="M436" t="s">
        <v>2474</v>
      </c>
      <c r="N436" t="s">
        <v>2727</v>
      </c>
      <c r="O436" t="s">
        <v>2728</v>
      </c>
      <c r="P436">
        <v>0</v>
      </c>
      <c r="Q436">
        <v>0</v>
      </c>
      <c r="R436" t="s">
        <v>2730</v>
      </c>
      <c r="S436" t="s">
        <v>2732</v>
      </c>
      <c r="T436" t="s">
        <v>2787</v>
      </c>
      <c r="U436" t="s">
        <v>3255</v>
      </c>
      <c r="W436" t="s">
        <v>2474</v>
      </c>
      <c r="X436" t="s">
        <v>2729</v>
      </c>
    </row>
    <row r="437" spans="1:24">
      <c r="A437">
        <f>HYPERLINK("https://www.philgeps.gov.ph/GEPSNONPILOT/Tender/SplashBidNoticeAbstractUI.aspx?menuIndex=3&amp;refID=7064729&amp;Result=3","7064729")</f>
        <v>0</v>
      </c>
      <c r="B437" t="s">
        <v>210</v>
      </c>
      <c r="C437" t="s">
        <v>757</v>
      </c>
      <c r="D437" t="s">
        <v>999</v>
      </c>
      <c r="E437" t="s">
        <v>1481</v>
      </c>
      <c r="F437" t="s">
        <v>1712</v>
      </c>
      <c r="G437" t="s">
        <v>1717</v>
      </c>
      <c r="H437" t="s">
        <v>1722</v>
      </c>
      <c r="I437" t="s">
        <v>1754</v>
      </c>
      <c r="J437" t="s">
        <v>2179</v>
      </c>
      <c r="K437" t="s">
        <v>2359</v>
      </c>
      <c r="M437" t="s">
        <v>2601</v>
      </c>
      <c r="N437" t="s">
        <v>2727</v>
      </c>
      <c r="O437" t="s">
        <v>2728</v>
      </c>
      <c r="P437">
        <v>0</v>
      </c>
      <c r="Q437">
        <v>0</v>
      </c>
      <c r="R437" t="s">
        <v>2730</v>
      </c>
      <c r="S437" t="s">
        <v>2732</v>
      </c>
      <c r="T437" t="s">
        <v>2763</v>
      </c>
      <c r="U437" t="s">
        <v>3256</v>
      </c>
      <c r="W437" t="s">
        <v>2601</v>
      </c>
      <c r="X437" t="s">
        <v>2729</v>
      </c>
    </row>
    <row r="438" spans="1:24">
      <c r="A438">
        <f>HYPERLINK("https://www.philgeps.gov.ph/GEPSNONPILOT/Tender/SplashBidNoticeAbstractUI.aspx?menuIndex=3&amp;refID=7064735&amp;Result=3","7064735")</f>
        <v>0</v>
      </c>
      <c r="B438" t="s">
        <v>211</v>
      </c>
      <c r="C438" t="s">
        <v>758</v>
      </c>
      <c r="D438" t="s">
        <v>1022</v>
      </c>
      <c r="E438" t="s">
        <v>1482</v>
      </c>
      <c r="F438" t="s">
        <v>1712</v>
      </c>
      <c r="G438" t="s">
        <v>1717</v>
      </c>
      <c r="H438" t="s">
        <v>1722</v>
      </c>
      <c r="I438" t="s">
        <v>1772</v>
      </c>
      <c r="J438" t="s">
        <v>1824</v>
      </c>
      <c r="K438" t="s">
        <v>2367</v>
      </c>
      <c r="M438" t="s">
        <v>2602</v>
      </c>
      <c r="N438" t="s">
        <v>2727</v>
      </c>
      <c r="O438" t="s">
        <v>2728</v>
      </c>
      <c r="P438">
        <v>0</v>
      </c>
      <c r="Q438">
        <v>0</v>
      </c>
      <c r="R438" t="s">
        <v>2730</v>
      </c>
      <c r="S438" t="s">
        <v>2732</v>
      </c>
      <c r="T438" t="s">
        <v>2828</v>
      </c>
      <c r="U438" t="s">
        <v>3257</v>
      </c>
      <c r="W438" t="s">
        <v>2602</v>
      </c>
      <c r="X438" t="s">
        <v>2729</v>
      </c>
    </row>
    <row r="439" spans="1:24">
      <c r="A439">
        <f>HYPERLINK("https://www.philgeps.gov.ph/GEPSNONPILOT/Tender/SplashBidNoticeAbstractUI.aspx?menuIndex=3&amp;refID=7064730&amp;Result=3","7064730")</f>
        <v>0</v>
      </c>
      <c r="B439" t="s">
        <v>185</v>
      </c>
      <c r="C439" t="s">
        <v>759</v>
      </c>
      <c r="D439" t="s">
        <v>1043</v>
      </c>
      <c r="E439" t="s">
        <v>1483</v>
      </c>
      <c r="F439" t="s">
        <v>1712</v>
      </c>
      <c r="G439" t="s">
        <v>1719</v>
      </c>
      <c r="H439" t="s">
        <v>1722</v>
      </c>
      <c r="I439" t="s">
        <v>1773</v>
      </c>
      <c r="J439" t="s">
        <v>2180</v>
      </c>
      <c r="K439" t="s">
        <v>2360</v>
      </c>
      <c r="M439" t="s">
        <v>2576</v>
      </c>
      <c r="N439" t="s">
        <v>2727</v>
      </c>
      <c r="O439" t="s">
        <v>2728</v>
      </c>
      <c r="P439">
        <v>0</v>
      </c>
      <c r="Q439">
        <v>0</v>
      </c>
      <c r="R439" t="s">
        <v>2730</v>
      </c>
      <c r="S439" t="s">
        <v>2732</v>
      </c>
      <c r="T439" t="s">
        <v>2817</v>
      </c>
      <c r="U439" t="s">
        <v>3258</v>
      </c>
      <c r="W439" t="s">
        <v>2576</v>
      </c>
      <c r="X439" t="s">
        <v>2729</v>
      </c>
    </row>
    <row r="440" spans="1:24">
      <c r="A440">
        <f>HYPERLINK("https://www.philgeps.gov.ph/GEPSNONPILOT/Tender/SplashBidNoticeAbstractUI.aspx?menuIndex=3&amp;refID=7064733&amp;Result=3","7064733")</f>
        <v>0</v>
      </c>
      <c r="B440" t="s">
        <v>201</v>
      </c>
      <c r="C440" t="s">
        <v>760</v>
      </c>
      <c r="D440" t="s">
        <v>1046</v>
      </c>
      <c r="E440" t="s">
        <v>1484</v>
      </c>
      <c r="F440" t="s">
        <v>1712</v>
      </c>
      <c r="G440" t="s">
        <v>1716</v>
      </c>
      <c r="H440" t="s">
        <v>1722</v>
      </c>
      <c r="I440" t="s">
        <v>1728</v>
      </c>
      <c r="J440" t="s">
        <v>2181</v>
      </c>
      <c r="K440" t="s">
        <v>2366</v>
      </c>
      <c r="M440" t="s">
        <v>2592</v>
      </c>
      <c r="N440" t="s">
        <v>2727</v>
      </c>
      <c r="O440" t="s">
        <v>2728</v>
      </c>
      <c r="P440">
        <v>0</v>
      </c>
      <c r="Q440">
        <v>0</v>
      </c>
      <c r="R440" t="s">
        <v>2730</v>
      </c>
      <c r="S440" t="s">
        <v>2732</v>
      </c>
      <c r="T440" t="s">
        <v>2829</v>
      </c>
      <c r="U440" t="s">
        <v>3259</v>
      </c>
      <c r="W440" t="s">
        <v>2592</v>
      </c>
      <c r="X440" t="s">
        <v>2729</v>
      </c>
    </row>
    <row r="441" spans="1:24">
      <c r="A441">
        <f>HYPERLINK("https://www.philgeps.gov.ph/GEPSNONPILOT/Tender/SplashBidNoticeAbstractUI.aspx?menuIndex=3&amp;refID=7064737&amp;Result=3","7064737")</f>
        <v>0</v>
      </c>
      <c r="B441" t="s">
        <v>212</v>
      </c>
      <c r="C441" t="s">
        <v>761</v>
      </c>
      <c r="D441" t="s">
        <v>1047</v>
      </c>
      <c r="E441" t="s">
        <v>1485</v>
      </c>
      <c r="F441" t="s">
        <v>1712</v>
      </c>
      <c r="G441" t="s">
        <v>1717</v>
      </c>
      <c r="H441" t="s">
        <v>1722</v>
      </c>
      <c r="I441" t="s">
        <v>1785</v>
      </c>
      <c r="J441" t="s">
        <v>2125</v>
      </c>
      <c r="K441" t="s">
        <v>2405</v>
      </c>
      <c r="M441" t="s">
        <v>2603</v>
      </c>
      <c r="N441" t="s">
        <v>2727</v>
      </c>
      <c r="O441" t="s">
        <v>2728</v>
      </c>
      <c r="P441">
        <v>0</v>
      </c>
      <c r="Q441">
        <v>0</v>
      </c>
      <c r="R441" t="s">
        <v>2730</v>
      </c>
      <c r="S441" t="s">
        <v>2732</v>
      </c>
      <c r="T441" t="s">
        <v>2830</v>
      </c>
      <c r="U441" t="s">
        <v>3260</v>
      </c>
      <c r="V441" t="s">
        <v>3542</v>
      </c>
      <c r="W441" t="s">
        <v>3582</v>
      </c>
      <c r="X441" t="s">
        <v>2729</v>
      </c>
    </row>
    <row r="442" spans="1:24">
      <c r="A442">
        <f>HYPERLINK("https://www.philgeps.gov.ph/GEPSNONPILOT/Tender/SplashBidNoticeAbstractUI.aspx?menuIndex=3&amp;refID=7064734&amp;Result=3","7064734")</f>
        <v>0</v>
      </c>
      <c r="B442" t="s">
        <v>213</v>
      </c>
      <c r="C442" t="s">
        <v>762</v>
      </c>
      <c r="D442" t="s">
        <v>1056</v>
      </c>
      <c r="E442" t="s">
        <v>1486</v>
      </c>
      <c r="F442" t="s">
        <v>1712</v>
      </c>
      <c r="G442" t="s">
        <v>1717</v>
      </c>
      <c r="H442" t="s">
        <v>1722</v>
      </c>
      <c r="I442" t="s">
        <v>1727</v>
      </c>
      <c r="J442" t="s">
        <v>2182</v>
      </c>
      <c r="K442" t="s">
        <v>2366</v>
      </c>
      <c r="M442" t="s">
        <v>2604</v>
      </c>
      <c r="N442" t="s">
        <v>2727</v>
      </c>
      <c r="O442" t="s">
        <v>2728</v>
      </c>
      <c r="P442">
        <v>0</v>
      </c>
      <c r="Q442">
        <v>0</v>
      </c>
      <c r="R442" t="s">
        <v>2730</v>
      </c>
      <c r="S442" t="s">
        <v>2732</v>
      </c>
      <c r="T442" t="s">
        <v>2749</v>
      </c>
      <c r="U442" t="s">
        <v>3261</v>
      </c>
      <c r="W442" t="s">
        <v>2604</v>
      </c>
      <c r="X442" t="s">
        <v>2729</v>
      </c>
    </row>
    <row r="443" spans="1:24">
      <c r="A443">
        <f>HYPERLINK("https://www.philgeps.gov.ph/GEPSNONPILOT/Tender/SplashBidNoticeAbstractUI.aspx?menuIndex=3&amp;refID=7064751&amp;Result=3","7064751")</f>
        <v>0</v>
      </c>
      <c r="B443" t="s">
        <v>214</v>
      </c>
      <c r="C443" t="s">
        <v>763</v>
      </c>
      <c r="D443" t="s">
        <v>999</v>
      </c>
      <c r="E443" t="s">
        <v>1487</v>
      </c>
      <c r="F443" t="s">
        <v>1712</v>
      </c>
      <c r="G443" t="s">
        <v>1717</v>
      </c>
      <c r="H443" t="s">
        <v>1722</v>
      </c>
      <c r="I443" t="s">
        <v>1758</v>
      </c>
      <c r="J443" t="s">
        <v>2183</v>
      </c>
      <c r="K443" t="s">
        <v>2366</v>
      </c>
      <c r="M443" t="s">
        <v>2605</v>
      </c>
      <c r="N443" t="s">
        <v>2727</v>
      </c>
      <c r="O443" t="s">
        <v>2728</v>
      </c>
      <c r="P443">
        <v>0</v>
      </c>
      <c r="Q443">
        <v>0</v>
      </c>
      <c r="R443" t="s">
        <v>2730</v>
      </c>
      <c r="S443" t="s">
        <v>2732</v>
      </c>
      <c r="T443" t="s">
        <v>2831</v>
      </c>
      <c r="U443" t="s">
        <v>3262</v>
      </c>
      <c r="W443" t="s">
        <v>2605</v>
      </c>
      <c r="X443" t="s">
        <v>2729</v>
      </c>
    </row>
    <row r="444" spans="1:24">
      <c r="A444">
        <f>HYPERLINK("https://www.philgeps.gov.ph/GEPSNONPILOT/Tender/SplashBidNoticeAbstractUI.aspx?menuIndex=3&amp;refID=7064736&amp;Result=3","7064736")</f>
        <v>0</v>
      </c>
      <c r="B444" t="s">
        <v>215</v>
      </c>
      <c r="C444" t="s">
        <v>764</v>
      </c>
      <c r="D444" t="s">
        <v>1027</v>
      </c>
      <c r="E444" t="s">
        <v>1488</v>
      </c>
      <c r="F444" t="s">
        <v>1712</v>
      </c>
      <c r="G444" t="s">
        <v>1718</v>
      </c>
      <c r="H444" t="s">
        <v>1722</v>
      </c>
      <c r="I444" t="s">
        <v>1727</v>
      </c>
      <c r="J444" t="s">
        <v>2184</v>
      </c>
      <c r="K444" t="s">
        <v>2359</v>
      </c>
      <c r="M444" t="s">
        <v>2606</v>
      </c>
      <c r="N444" t="s">
        <v>2727</v>
      </c>
      <c r="O444" t="s">
        <v>2728</v>
      </c>
      <c r="P444">
        <v>0</v>
      </c>
      <c r="Q444">
        <v>0</v>
      </c>
      <c r="R444" t="s">
        <v>2730</v>
      </c>
      <c r="S444" t="s">
        <v>2732</v>
      </c>
      <c r="T444" t="s">
        <v>2815</v>
      </c>
      <c r="U444" t="s">
        <v>3263</v>
      </c>
      <c r="W444" t="s">
        <v>2606</v>
      </c>
      <c r="X444" t="s">
        <v>2729</v>
      </c>
    </row>
    <row r="445" spans="1:24">
      <c r="A445">
        <f>HYPERLINK("https://www.philgeps.gov.ph/GEPSNONPILOT/Tender/SplashBidNoticeAbstractUI.aspx?menuIndex=3&amp;refID=7064746&amp;Result=3","7064746")</f>
        <v>0</v>
      </c>
      <c r="B445" t="s">
        <v>216</v>
      </c>
      <c r="C445" t="s">
        <v>765</v>
      </c>
      <c r="D445" t="s">
        <v>1008</v>
      </c>
      <c r="E445" t="s">
        <v>1489</v>
      </c>
      <c r="F445" t="s">
        <v>1712</v>
      </c>
      <c r="G445" t="s">
        <v>1717</v>
      </c>
      <c r="H445" t="s">
        <v>1722</v>
      </c>
      <c r="I445" t="s">
        <v>1739</v>
      </c>
      <c r="J445" t="s">
        <v>2185</v>
      </c>
      <c r="K445" t="s">
        <v>2370</v>
      </c>
      <c r="M445" t="s">
        <v>2607</v>
      </c>
      <c r="N445" t="s">
        <v>2727</v>
      </c>
      <c r="O445" t="s">
        <v>2728</v>
      </c>
      <c r="P445">
        <v>0</v>
      </c>
      <c r="Q445">
        <v>0</v>
      </c>
      <c r="R445" t="s">
        <v>2730</v>
      </c>
      <c r="S445" t="s">
        <v>2732</v>
      </c>
      <c r="T445" t="s">
        <v>2774</v>
      </c>
      <c r="U445" t="s">
        <v>3264</v>
      </c>
      <c r="W445" t="s">
        <v>2607</v>
      </c>
      <c r="X445" t="s">
        <v>2729</v>
      </c>
    </row>
    <row r="446" spans="1:24">
      <c r="A446">
        <f>HYPERLINK("https://www.philgeps.gov.ph/GEPSNONPILOT/Tender/SplashBidNoticeAbstractUI.aspx?menuIndex=3&amp;refID=7064747&amp;Result=3","7064747")</f>
        <v>0</v>
      </c>
      <c r="B446" t="s">
        <v>217</v>
      </c>
      <c r="C446" t="s">
        <v>766</v>
      </c>
      <c r="D446" t="s">
        <v>1041</v>
      </c>
      <c r="E446" t="s">
        <v>1490</v>
      </c>
      <c r="F446" t="s">
        <v>1712</v>
      </c>
      <c r="G446" t="s">
        <v>1718</v>
      </c>
      <c r="H446" t="s">
        <v>1722</v>
      </c>
      <c r="I446" t="s">
        <v>1745</v>
      </c>
      <c r="J446" t="s">
        <v>2186</v>
      </c>
      <c r="K446" t="s">
        <v>2367</v>
      </c>
      <c r="L446" t="s">
        <v>217</v>
      </c>
      <c r="M446" t="s">
        <v>2608</v>
      </c>
      <c r="N446" t="s">
        <v>2727</v>
      </c>
      <c r="O446" t="s">
        <v>2728</v>
      </c>
      <c r="P446">
        <v>0</v>
      </c>
      <c r="Q446">
        <v>0</v>
      </c>
      <c r="R446" t="s">
        <v>2730</v>
      </c>
      <c r="S446" t="s">
        <v>2732</v>
      </c>
      <c r="T446" t="s">
        <v>2787</v>
      </c>
      <c r="U446" t="s">
        <v>3265</v>
      </c>
      <c r="W446" t="s">
        <v>2608</v>
      </c>
      <c r="X446" t="s">
        <v>2729</v>
      </c>
    </row>
    <row r="447" spans="1:24">
      <c r="A447">
        <f>HYPERLINK("https://www.philgeps.gov.ph/GEPSNONPILOT/Tender/SplashBidNoticeAbstractUI.aspx?menuIndex=3&amp;refID=7064750&amp;Result=3","7064750")</f>
        <v>0</v>
      </c>
      <c r="B447" t="s">
        <v>218</v>
      </c>
      <c r="C447" t="s">
        <v>767</v>
      </c>
      <c r="D447" t="s">
        <v>1057</v>
      </c>
      <c r="E447" t="s">
        <v>1491</v>
      </c>
      <c r="F447" t="s">
        <v>1712</v>
      </c>
      <c r="G447" t="s">
        <v>1717</v>
      </c>
      <c r="H447" t="s">
        <v>1725</v>
      </c>
      <c r="I447" t="s">
        <v>1780</v>
      </c>
      <c r="J447" t="s">
        <v>2187</v>
      </c>
      <c r="K447" t="s">
        <v>2365</v>
      </c>
      <c r="M447" t="s">
        <v>2609</v>
      </c>
      <c r="N447" t="s">
        <v>2727</v>
      </c>
      <c r="O447" t="s">
        <v>2728</v>
      </c>
      <c r="P447">
        <v>0</v>
      </c>
      <c r="Q447">
        <v>0</v>
      </c>
      <c r="R447" t="s">
        <v>2730</v>
      </c>
      <c r="S447" t="s">
        <v>2732</v>
      </c>
      <c r="T447" t="s">
        <v>2812</v>
      </c>
      <c r="U447" t="s">
        <v>3266</v>
      </c>
      <c r="V447" t="s">
        <v>3543</v>
      </c>
      <c r="W447" t="s">
        <v>2609</v>
      </c>
      <c r="X447" t="s">
        <v>2729</v>
      </c>
    </row>
    <row r="448" spans="1:24">
      <c r="A448">
        <f>HYPERLINK("https://www.philgeps.gov.ph/GEPSNONPILOT/Tender/SplashBidNoticeAbstractUI.aspx?menuIndex=3&amp;refID=7064743&amp;Result=3","7064743")</f>
        <v>0</v>
      </c>
      <c r="B448" t="s">
        <v>219</v>
      </c>
      <c r="C448" t="s">
        <v>768</v>
      </c>
      <c r="D448" t="s">
        <v>999</v>
      </c>
      <c r="E448" t="s">
        <v>1492</v>
      </c>
      <c r="F448" t="s">
        <v>1712</v>
      </c>
      <c r="G448" t="s">
        <v>1716</v>
      </c>
      <c r="H448" t="s">
        <v>1723</v>
      </c>
      <c r="I448" t="s">
        <v>1729</v>
      </c>
      <c r="J448" t="s">
        <v>2188</v>
      </c>
      <c r="K448" t="s">
        <v>2361</v>
      </c>
      <c r="M448" t="s">
        <v>2610</v>
      </c>
      <c r="N448" t="s">
        <v>2727</v>
      </c>
      <c r="O448" t="s">
        <v>2728</v>
      </c>
      <c r="P448">
        <v>0</v>
      </c>
      <c r="Q448">
        <v>0</v>
      </c>
      <c r="R448" t="s">
        <v>2730</v>
      </c>
      <c r="S448" t="s">
        <v>2732</v>
      </c>
      <c r="T448" t="s">
        <v>2832</v>
      </c>
      <c r="U448" t="s">
        <v>3267</v>
      </c>
      <c r="V448" t="s">
        <v>3544</v>
      </c>
      <c r="W448" t="s">
        <v>2610</v>
      </c>
      <c r="X448" t="s">
        <v>2729</v>
      </c>
    </row>
    <row r="449" spans="1:24">
      <c r="A449">
        <f>HYPERLINK("https://www.philgeps.gov.ph/GEPSNONPILOT/Tender/SplashBidNoticeAbstractUI.aspx?menuIndex=3&amp;refID=7064745&amp;Result=3","7064745")</f>
        <v>0</v>
      </c>
      <c r="B449" t="s">
        <v>220</v>
      </c>
      <c r="C449" t="s">
        <v>769</v>
      </c>
      <c r="D449" t="s">
        <v>1029</v>
      </c>
      <c r="E449" t="s">
        <v>1493</v>
      </c>
      <c r="F449" t="s">
        <v>1712</v>
      </c>
      <c r="G449" t="s">
        <v>1718</v>
      </c>
      <c r="H449" t="s">
        <v>1722</v>
      </c>
      <c r="I449" t="s">
        <v>1734</v>
      </c>
      <c r="J449" t="s">
        <v>2189</v>
      </c>
      <c r="K449" t="s">
        <v>2359</v>
      </c>
      <c r="M449" t="s">
        <v>2611</v>
      </c>
      <c r="N449" t="s">
        <v>2727</v>
      </c>
      <c r="O449" t="s">
        <v>2728</v>
      </c>
      <c r="P449">
        <v>0</v>
      </c>
      <c r="Q449">
        <v>0</v>
      </c>
      <c r="R449" t="s">
        <v>2730</v>
      </c>
      <c r="S449" t="s">
        <v>2732</v>
      </c>
      <c r="T449" t="s">
        <v>2787</v>
      </c>
      <c r="U449" t="s">
        <v>3268</v>
      </c>
      <c r="W449" t="s">
        <v>2611</v>
      </c>
      <c r="X449" t="s">
        <v>2729</v>
      </c>
    </row>
    <row r="450" spans="1:24">
      <c r="A450">
        <f>HYPERLINK("https://www.philgeps.gov.ph/GEPSNONPILOT/Tender/SplashBidNoticeAbstractUI.aspx?menuIndex=3&amp;refID=7064748&amp;Result=3","7064748")</f>
        <v>0</v>
      </c>
      <c r="B450" t="s">
        <v>185</v>
      </c>
      <c r="C450" t="s">
        <v>748</v>
      </c>
      <c r="D450" t="s">
        <v>1043</v>
      </c>
      <c r="E450" t="s">
        <v>1494</v>
      </c>
      <c r="F450" t="s">
        <v>1712</v>
      </c>
      <c r="G450" t="s">
        <v>1717</v>
      </c>
      <c r="H450" t="s">
        <v>1722</v>
      </c>
      <c r="I450" t="s">
        <v>1745</v>
      </c>
      <c r="J450" t="s">
        <v>2190</v>
      </c>
      <c r="K450" t="s">
        <v>2360</v>
      </c>
      <c r="M450" t="s">
        <v>2576</v>
      </c>
      <c r="N450" t="s">
        <v>2727</v>
      </c>
      <c r="O450" t="s">
        <v>2728</v>
      </c>
      <c r="P450">
        <v>0</v>
      </c>
      <c r="Q450">
        <v>0</v>
      </c>
      <c r="R450" t="s">
        <v>2730</v>
      </c>
      <c r="S450" t="s">
        <v>2732</v>
      </c>
      <c r="T450" t="s">
        <v>2817</v>
      </c>
      <c r="U450" t="s">
        <v>3269</v>
      </c>
      <c r="W450" t="s">
        <v>2576</v>
      </c>
      <c r="X450" t="s">
        <v>2729</v>
      </c>
    </row>
    <row r="451" spans="1:24">
      <c r="A451">
        <f>HYPERLINK("https://www.philgeps.gov.ph/GEPSNONPILOT/Tender/SplashBidNoticeAbstractUI.aspx?menuIndex=3&amp;refID=7064749&amp;Result=3","7064749")</f>
        <v>0</v>
      </c>
      <c r="B451" t="s">
        <v>166</v>
      </c>
      <c r="C451" t="s">
        <v>770</v>
      </c>
      <c r="D451" t="s">
        <v>1021</v>
      </c>
      <c r="E451" t="s">
        <v>1495</v>
      </c>
      <c r="F451" t="s">
        <v>1712</v>
      </c>
      <c r="G451" t="s">
        <v>1716</v>
      </c>
      <c r="H451" t="s">
        <v>1722</v>
      </c>
      <c r="I451" t="s">
        <v>1737</v>
      </c>
      <c r="J451" t="s">
        <v>2191</v>
      </c>
      <c r="K451" t="s">
        <v>2366</v>
      </c>
      <c r="M451" t="s">
        <v>2557</v>
      </c>
      <c r="N451" t="s">
        <v>2727</v>
      </c>
      <c r="O451" t="s">
        <v>2728</v>
      </c>
      <c r="P451">
        <v>0</v>
      </c>
      <c r="Q451">
        <v>0</v>
      </c>
      <c r="R451" t="s">
        <v>2730</v>
      </c>
      <c r="S451" t="s">
        <v>2732</v>
      </c>
      <c r="T451" t="s">
        <v>2757</v>
      </c>
      <c r="U451" t="s">
        <v>3193</v>
      </c>
      <c r="V451" t="s">
        <v>3528</v>
      </c>
      <c r="W451" t="s">
        <v>2557</v>
      </c>
      <c r="X451" t="s">
        <v>2729</v>
      </c>
    </row>
    <row r="452" spans="1:24">
      <c r="A452">
        <f>HYPERLINK("https://www.philgeps.gov.ph/GEPSNONPILOT/Tender/SplashBidNoticeAbstractUI.aspx?menuIndex=3&amp;refID=7064742&amp;Result=3","7064742")</f>
        <v>0</v>
      </c>
      <c r="B452" t="s">
        <v>169</v>
      </c>
      <c r="C452" t="s">
        <v>771</v>
      </c>
      <c r="D452" t="s">
        <v>1049</v>
      </c>
      <c r="E452" t="s">
        <v>1496</v>
      </c>
      <c r="F452" t="s">
        <v>1712</v>
      </c>
      <c r="G452" t="s">
        <v>1716</v>
      </c>
      <c r="H452" t="s">
        <v>1723</v>
      </c>
      <c r="I452" t="s">
        <v>1729</v>
      </c>
      <c r="J452" t="s">
        <v>2192</v>
      </c>
      <c r="K452" t="s">
        <v>2406</v>
      </c>
      <c r="M452" t="s">
        <v>2560</v>
      </c>
      <c r="N452" t="s">
        <v>2727</v>
      </c>
      <c r="O452" t="s">
        <v>2728</v>
      </c>
      <c r="P452">
        <v>0</v>
      </c>
      <c r="Q452">
        <v>0</v>
      </c>
      <c r="R452" t="s">
        <v>2730</v>
      </c>
      <c r="S452" t="s">
        <v>2732</v>
      </c>
      <c r="T452" t="s">
        <v>2757</v>
      </c>
      <c r="U452" t="s">
        <v>3270</v>
      </c>
      <c r="W452" t="s">
        <v>2560</v>
      </c>
      <c r="X452" t="s">
        <v>2729</v>
      </c>
    </row>
    <row r="453" spans="1:24">
      <c r="A453">
        <f>HYPERLINK("https://www.philgeps.gov.ph/GEPSNONPILOT/Tender/SplashBidNoticeAbstractUI.aspx?menuIndex=3&amp;refID=7064741&amp;Result=3","7064741")</f>
        <v>0</v>
      </c>
      <c r="B453" t="s">
        <v>203</v>
      </c>
      <c r="C453" t="s">
        <v>772</v>
      </c>
      <c r="E453" t="s">
        <v>1497</v>
      </c>
      <c r="F453" t="s">
        <v>1712</v>
      </c>
      <c r="G453" t="s">
        <v>1718</v>
      </c>
      <c r="H453" t="s">
        <v>1722</v>
      </c>
      <c r="I453" t="s">
        <v>1773</v>
      </c>
      <c r="J453" t="s">
        <v>2193</v>
      </c>
      <c r="K453" t="s">
        <v>2367</v>
      </c>
      <c r="M453" t="s">
        <v>2594</v>
      </c>
      <c r="N453" t="s">
        <v>2727</v>
      </c>
      <c r="O453" t="s">
        <v>2728</v>
      </c>
      <c r="P453">
        <v>0</v>
      </c>
      <c r="Q453">
        <v>0</v>
      </c>
      <c r="R453" t="s">
        <v>2730</v>
      </c>
      <c r="S453" t="s">
        <v>2732</v>
      </c>
      <c r="T453" t="s">
        <v>2825</v>
      </c>
      <c r="U453" t="s">
        <v>3271</v>
      </c>
      <c r="V453" t="s">
        <v>3541</v>
      </c>
      <c r="W453" t="s">
        <v>2594</v>
      </c>
      <c r="X453" t="s">
        <v>2729</v>
      </c>
    </row>
    <row r="454" spans="1:24">
      <c r="A454">
        <f>HYPERLINK("https://www.philgeps.gov.ph/GEPSNONPILOT/Tender/SplashBidNoticeAbstractUI.aspx?menuIndex=3&amp;refID=7064740&amp;Result=3","7064740")</f>
        <v>0</v>
      </c>
      <c r="B454" t="s">
        <v>206</v>
      </c>
      <c r="C454" t="s">
        <v>773</v>
      </c>
      <c r="E454" t="s">
        <v>1498</v>
      </c>
      <c r="F454" t="s">
        <v>1712</v>
      </c>
      <c r="G454" t="s">
        <v>1717</v>
      </c>
      <c r="H454" t="s">
        <v>1722</v>
      </c>
      <c r="I454" t="s">
        <v>1786</v>
      </c>
      <c r="J454" t="s">
        <v>2194</v>
      </c>
      <c r="K454" t="s">
        <v>2371</v>
      </c>
      <c r="M454" t="s">
        <v>2597</v>
      </c>
      <c r="N454" t="s">
        <v>2727</v>
      </c>
      <c r="O454" t="s">
        <v>2728</v>
      </c>
      <c r="P454">
        <v>0</v>
      </c>
      <c r="Q454">
        <v>0</v>
      </c>
      <c r="R454" t="s">
        <v>2730</v>
      </c>
      <c r="S454" t="s">
        <v>2732</v>
      </c>
      <c r="T454" t="s">
        <v>2741</v>
      </c>
      <c r="U454" t="s">
        <v>3272</v>
      </c>
      <c r="W454" t="s">
        <v>2597</v>
      </c>
      <c r="X454" t="s">
        <v>2729</v>
      </c>
    </row>
    <row r="455" spans="1:24">
      <c r="A455">
        <f>HYPERLINK("https://www.philgeps.gov.ph/GEPSNONPILOT/Tender/SplashBidNoticeAbstractUI.aspx?menuIndex=3&amp;refID=7064738&amp;Result=3","7064738")</f>
        <v>0</v>
      </c>
      <c r="B455" t="s">
        <v>166</v>
      </c>
      <c r="C455" t="s">
        <v>774</v>
      </c>
      <c r="D455" t="s">
        <v>1021</v>
      </c>
      <c r="E455" t="s">
        <v>1499</v>
      </c>
      <c r="F455" t="s">
        <v>1712</v>
      </c>
      <c r="G455" t="s">
        <v>1716</v>
      </c>
      <c r="H455" t="s">
        <v>1722</v>
      </c>
      <c r="I455" t="s">
        <v>1737</v>
      </c>
      <c r="J455" t="s">
        <v>2195</v>
      </c>
      <c r="K455" t="s">
        <v>2366</v>
      </c>
      <c r="M455" t="s">
        <v>2557</v>
      </c>
      <c r="N455" t="s">
        <v>2727</v>
      </c>
      <c r="O455" t="s">
        <v>2728</v>
      </c>
      <c r="P455">
        <v>0</v>
      </c>
      <c r="Q455">
        <v>0</v>
      </c>
      <c r="R455" t="s">
        <v>2730</v>
      </c>
      <c r="S455" t="s">
        <v>2732</v>
      </c>
      <c r="T455" t="s">
        <v>2757</v>
      </c>
      <c r="U455" t="s">
        <v>3193</v>
      </c>
      <c r="V455" t="s">
        <v>3528</v>
      </c>
      <c r="W455" t="s">
        <v>2557</v>
      </c>
      <c r="X455" t="s">
        <v>2729</v>
      </c>
    </row>
    <row r="456" spans="1:24">
      <c r="A456">
        <f>HYPERLINK("https://www.philgeps.gov.ph/GEPSNONPILOT/Tender/SplashBidNoticeAbstractUI.aspx?menuIndex=3&amp;refID=7064758&amp;Result=3","7064758")</f>
        <v>0</v>
      </c>
      <c r="B456" t="s">
        <v>221</v>
      </c>
      <c r="C456" t="s">
        <v>775</v>
      </c>
      <c r="D456" t="s">
        <v>1024</v>
      </c>
      <c r="E456" t="s">
        <v>1500</v>
      </c>
      <c r="F456" t="s">
        <v>1712</v>
      </c>
      <c r="G456" t="s">
        <v>1717</v>
      </c>
      <c r="H456" t="s">
        <v>1722</v>
      </c>
      <c r="I456" t="s">
        <v>1772</v>
      </c>
      <c r="J456" t="s">
        <v>2020</v>
      </c>
      <c r="K456" t="s">
        <v>2366</v>
      </c>
      <c r="M456" t="s">
        <v>2612</v>
      </c>
      <c r="N456" t="s">
        <v>2727</v>
      </c>
      <c r="O456" t="s">
        <v>2728</v>
      </c>
      <c r="P456">
        <v>0</v>
      </c>
      <c r="Q456">
        <v>0</v>
      </c>
      <c r="R456" t="s">
        <v>2730</v>
      </c>
      <c r="S456" t="s">
        <v>2732</v>
      </c>
      <c r="T456" t="s">
        <v>2774</v>
      </c>
      <c r="U456" t="s">
        <v>3273</v>
      </c>
      <c r="W456" t="s">
        <v>2612</v>
      </c>
      <c r="X456" t="s">
        <v>2729</v>
      </c>
    </row>
    <row r="457" spans="1:24">
      <c r="A457">
        <f>HYPERLINK("https://www.philgeps.gov.ph/GEPSNONPILOT/Tender/SplashBidNoticeAbstractUI.aspx?menuIndex=3&amp;refID=7064753&amp;Result=3","7064753")</f>
        <v>0</v>
      </c>
      <c r="B457" t="s">
        <v>222</v>
      </c>
      <c r="C457" t="s">
        <v>776</v>
      </c>
      <c r="D457" t="s">
        <v>1038</v>
      </c>
      <c r="E457" t="s">
        <v>1501</v>
      </c>
      <c r="F457" t="s">
        <v>1712</v>
      </c>
      <c r="G457" t="s">
        <v>1719</v>
      </c>
      <c r="H457" t="s">
        <v>1722</v>
      </c>
      <c r="I457" t="s">
        <v>1732</v>
      </c>
      <c r="J457" t="s">
        <v>2196</v>
      </c>
      <c r="K457" t="s">
        <v>2366</v>
      </c>
      <c r="M457" t="s">
        <v>2613</v>
      </c>
      <c r="N457" t="s">
        <v>2727</v>
      </c>
      <c r="O457" t="s">
        <v>2728</v>
      </c>
      <c r="P457">
        <v>0</v>
      </c>
      <c r="Q457">
        <v>0</v>
      </c>
      <c r="R457" t="s">
        <v>2730</v>
      </c>
      <c r="S457" t="s">
        <v>2732</v>
      </c>
      <c r="T457" t="s">
        <v>2774</v>
      </c>
      <c r="U457" t="s">
        <v>3274</v>
      </c>
      <c r="W457" t="s">
        <v>2613</v>
      </c>
      <c r="X457" t="s">
        <v>2729</v>
      </c>
    </row>
    <row r="458" spans="1:24">
      <c r="A458">
        <f>HYPERLINK("https://www.philgeps.gov.ph/GEPSNONPILOT/Tender/SplashBidNoticeAbstractUI.aspx?menuIndex=3&amp;refID=7064757&amp;Result=3","7064757")</f>
        <v>0</v>
      </c>
      <c r="B458" t="s">
        <v>223</v>
      </c>
      <c r="C458" t="s">
        <v>777</v>
      </c>
      <c r="D458" t="s">
        <v>1037</v>
      </c>
      <c r="E458" t="s">
        <v>777</v>
      </c>
      <c r="F458" t="s">
        <v>1712</v>
      </c>
      <c r="G458" t="s">
        <v>1718</v>
      </c>
      <c r="H458" t="s">
        <v>1722</v>
      </c>
      <c r="I458" t="s">
        <v>1732</v>
      </c>
      <c r="J458" t="s">
        <v>2197</v>
      </c>
      <c r="K458" t="s">
        <v>2358</v>
      </c>
      <c r="M458" t="s">
        <v>2614</v>
      </c>
      <c r="N458" t="s">
        <v>2727</v>
      </c>
      <c r="O458" t="s">
        <v>2728</v>
      </c>
      <c r="P458">
        <v>0</v>
      </c>
      <c r="Q458">
        <v>0</v>
      </c>
      <c r="R458" t="s">
        <v>2730</v>
      </c>
      <c r="S458" t="s">
        <v>2732</v>
      </c>
      <c r="T458" t="s">
        <v>2748</v>
      </c>
      <c r="U458" t="s">
        <v>3275</v>
      </c>
      <c r="W458" t="s">
        <v>2614</v>
      </c>
      <c r="X458" t="s">
        <v>2729</v>
      </c>
    </row>
    <row r="459" spans="1:24">
      <c r="A459">
        <f>HYPERLINK("https://www.philgeps.gov.ph/GEPSNONPILOT/Tender/SplashBidNoticeAbstractUI.aspx?menuIndex=3&amp;refID=7064754&amp;Result=3","7064754")</f>
        <v>0</v>
      </c>
      <c r="B459" t="s">
        <v>224</v>
      </c>
      <c r="C459" t="s">
        <v>778</v>
      </c>
      <c r="D459" t="s">
        <v>1012</v>
      </c>
      <c r="E459" t="s">
        <v>1502</v>
      </c>
      <c r="F459" t="s">
        <v>1712</v>
      </c>
      <c r="G459" t="s">
        <v>1717</v>
      </c>
      <c r="H459" t="s">
        <v>1723</v>
      </c>
      <c r="I459" t="s">
        <v>1729</v>
      </c>
      <c r="J459" t="s">
        <v>2198</v>
      </c>
      <c r="K459" t="s">
        <v>2372</v>
      </c>
      <c r="M459" t="s">
        <v>2615</v>
      </c>
      <c r="N459" t="s">
        <v>2727</v>
      </c>
      <c r="O459" t="s">
        <v>2728</v>
      </c>
      <c r="P459">
        <v>0</v>
      </c>
      <c r="Q459">
        <v>0</v>
      </c>
      <c r="R459" t="s">
        <v>2730</v>
      </c>
      <c r="S459" t="s">
        <v>2732</v>
      </c>
      <c r="T459" t="s">
        <v>2833</v>
      </c>
      <c r="U459" t="s">
        <v>3276</v>
      </c>
      <c r="V459" t="s">
        <v>3545</v>
      </c>
      <c r="W459" t="s">
        <v>2615</v>
      </c>
      <c r="X459" t="s">
        <v>2729</v>
      </c>
    </row>
    <row r="460" spans="1:24">
      <c r="A460">
        <f>HYPERLINK("https://www.philgeps.gov.ph/GEPSNONPILOT/Tender/SplashBidNoticeAbstractUI.aspx?menuIndex=3&amp;refID=7064762&amp;Result=3","7064762")</f>
        <v>0</v>
      </c>
      <c r="B460" t="s">
        <v>38</v>
      </c>
      <c r="C460" t="s">
        <v>779</v>
      </c>
      <c r="D460" t="s">
        <v>998</v>
      </c>
      <c r="E460" t="s">
        <v>1503</v>
      </c>
      <c r="F460" t="s">
        <v>1712</v>
      </c>
      <c r="G460" t="s">
        <v>1718</v>
      </c>
      <c r="H460" t="s">
        <v>1722</v>
      </c>
      <c r="I460" t="s">
        <v>1750</v>
      </c>
      <c r="J460" t="s">
        <v>1874</v>
      </c>
      <c r="K460" t="s">
        <v>2367</v>
      </c>
      <c r="M460" t="s">
        <v>2427</v>
      </c>
      <c r="N460" t="s">
        <v>2727</v>
      </c>
      <c r="O460" t="s">
        <v>2728</v>
      </c>
      <c r="P460">
        <v>0</v>
      </c>
      <c r="Q460">
        <v>0</v>
      </c>
      <c r="R460" t="s">
        <v>2730</v>
      </c>
      <c r="S460" t="s">
        <v>2732</v>
      </c>
      <c r="T460" t="s">
        <v>2748</v>
      </c>
      <c r="U460" t="s">
        <v>3277</v>
      </c>
      <c r="W460" t="s">
        <v>2427</v>
      </c>
      <c r="X460" t="s">
        <v>2729</v>
      </c>
    </row>
    <row r="461" spans="1:24">
      <c r="A461">
        <f>HYPERLINK("https://www.philgeps.gov.ph/GEPSNONPILOT/Tender/SplashBidNoticeAbstractUI.aspx?menuIndex=3&amp;refID=7064760&amp;Result=3","7064760")</f>
        <v>0</v>
      </c>
      <c r="B461" t="s">
        <v>225</v>
      </c>
      <c r="C461" t="s">
        <v>780</v>
      </c>
      <c r="E461" t="s">
        <v>1504</v>
      </c>
      <c r="F461" t="s">
        <v>1712</v>
      </c>
      <c r="G461" t="s">
        <v>1716</v>
      </c>
      <c r="H461" t="s">
        <v>1722</v>
      </c>
      <c r="I461" t="s">
        <v>1787</v>
      </c>
      <c r="J461" t="s">
        <v>2199</v>
      </c>
      <c r="K461" t="s">
        <v>2367</v>
      </c>
      <c r="M461" t="s">
        <v>2616</v>
      </c>
      <c r="N461" t="s">
        <v>2727</v>
      </c>
      <c r="O461" t="s">
        <v>2728</v>
      </c>
      <c r="P461">
        <v>0</v>
      </c>
      <c r="Q461">
        <v>0</v>
      </c>
      <c r="R461" t="s">
        <v>2730</v>
      </c>
      <c r="S461" t="s">
        <v>2732</v>
      </c>
      <c r="T461" t="s">
        <v>2752</v>
      </c>
      <c r="U461" t="s">
        <v>3278</v>
      </c>
      <c r="V461" t="s">
        <v>3546</v>
      </c>
      <c r="W461" t="s">
        <v>2616</v>
      </c>
      <c r="X461" t="s">
        <v>2729</v>
      </c>
    </row>
    <row r="462" spans="1:24">
      <c r="A462">
        <f>HYPERLINK("https://www.philgeps.gov.ph/GEPSNONPILOT/Tender/SplashBidNoticeAbstractUI.aspx?menuIndex=3&amp;refID=7064752&amp;Result=3","7064752")</f>
        <v>0</v>
      </c>
      <c r="B462" t="s">
        <v>226</v>
      </c>
      <c r="C462" t="s">
        <v>781</v>
      </c>
      <c r="D462" t="s">
        <v>1046</v>
      </c>
      <c r="E462" t="s">
        <v>1505</v>
      </c>
      <c r="F462" t="s">
        <v>1712</v>
      </c>
      <c r="G462" t="s">
        <v>1717</v>
      </c>
      <c r="H462" t="s">
        <v>1722</v>
      </c>
      <c r="I462" t="s">
        <v>1738</v>
      </c>
      <c r="J462" t="s">
        <v>2200</v>
      </c>
      <c r="K462" t="s">
        <v>2371</v>
      </c>
      <c r="M462" t="s">
        <v>2617</v>
      </c>
      <c r="N462" t="s">
        <v>2727</v>
      </c>
      <c r="O462" t="s">
        <v>2728</v>
      </c>
      <c r="P462">
        <v>0</v>
      </c>
      <c r="Q462">
        <v>0</v>
      </c>
      <c r="R462" t="s">
        <v>2730</v>
      </c>
      <c r="S462" t="s">
        <v>2732</v>
      </c>
      <c r="T462" t="s">
        <v>2776</v>
      </c>
      <c r="U462" t="s">
        <v>3279</v>
      </c>
      <c r="W462" t="s">
        <v>2617</v>
      </c>
      <c r="X462" t="s">
        <v>2729</v>
      </c>
    </row>
    <row r="463" spans="1:24">
      <c r="A463">
        <f>HYPERLINK("https://www.philgeps.gov.ph/GEPSNONPILOT/Tender/SplashBidNoticeAbstractUI.aspx?menuIndex=3&amp;refID=7064761&amp;Result=3","7064761")</f>
        <v>0</v>
      </c>
      <c r="B463" t="s">
        <v>227</v>
      </c>
      <c r="C463" t="s">
        <v>782</v>
      </c>
      <c r="D463" t="s">
        <v>1043</v>
      </c>
      <c r="E463" t="s">
        <v>1506</v>
      </c>
      <c r="F463" t="s">
        <v>1712</v>
      </c>
      <c r="G463" t="s">
        <v>1717</v>
      </c>
      <c r="H463" t="s">
        <v>1722</v>
      </c>
      <c r="I463" t="s">
        <v>1777</v>
      </c>
      <c r="J463" t="s">
        <v>2201</v>
      </c>
      <c r="K463" t="s">
        <v>2359</v>
      </c>
      <c r="M463" t="s">
        <v>2618</v>
      </c>
      <c r="N463" t="s">
        <v>2727</v>
      </c>
      <c r="O463" t="s">
        <v>2728</v>
      </c>
      <c r="P463">
        <v>0</v>
      </c>
      <c r="Q463">
        <v>0</v>
      </c>
      <c r="R463" t="s">
        <v>2730</v>
      </c>
      <c r="S463" t="s">
        <v>2732</v>
      </c>
      <c r="T463" t="s">
        <v>2787</v>
      </c>
      <c r="U463" t="s">
        <v>3280</v>
      </c>
      <c r="W463" t="s">
        <v>2618</v>
      </c>
      <c r="X463" t="s">
        <v>2729</v>
      </c>
    </row>
    <row r="464" spans="1:24">
      <c r="A464">
        <f>HYPERLINK("https://www.philgeps.gov.ph/GEPSNONPILOT/Tender/SplashBidNoticeAbstractUI.aspx?menuIndex=3&amp;refID=7064769&amp;Result=3","7064769")</f>
        <v>0</v>
      </c>
      <c r="B464" t="s">
        <v>228</v>
      </c>
      <c r="C464" t="s">
        <v>783</v>
      </c>
      <c r="D464" t="s">
        <v>1057</v>
      </c>
      <c r="E464" t="s">
        <v>1507</v>
      </c>
      <c r="F464" t="s">
        <v>1712</v>
      </c>
      <c r="G464" t="s">
        <v>1717</v>
      </c>
      <c r="H464" t="s">
        <v>1722</v>
      </c>
      <c r="I464" t="s">
        <v>1741</v>
      </c>
      <c r="J464" t="s">
        <v>2133</v>
      </c>
      <c r="K464" t="s">
        <v>2367</v>
      </c>
      <c r="M464" t="s">
        <v>2619</v>
      </c>
      <c r="N464" t="s">
        <v>2727</v>
      </c>
      <c r="O464" t="s">
        <v>2728</v>
      </c>
      <c r="P464">
        <v>0</v>
      </c>
      <c r="Q464">
        <v>0</v>
      </c>
      <c r="R464" t="s">
        <v>2730</v>
      </c>
      <c r="S464" t="s">
        <v>2732</v>
      </c>
      <c r="T464" t="s">
        <v>2834</v>
      </c>
      <c r="U464" t="s">
        <v>3281</v>
      </c>
      <c r="W464" t="s">
        <v>2619</v>
      </c>
      <c r="X464" t="s">
        <v>2729</v>
      </c>
    </row>
    <row r="465" spans="1:24">
      <c r="A465">
        <f>HYPERLINK("https://www.philgeps.gov.ph/GEPSNONPILOT/Tender/SplashBidNoticeAbstractUI.aspx?menuIndex=3&amp;refID=7064772&amp;Result=3","7064772")</f>
        <v>0</v>
      </c>
      <c r="B465" t="s">
        <v>229</v>
      </c>
      <c r="C465" t="s">
        <v>784</v>
      </c>
      <c r="D465" t="s">
        <v>1055</v>
      </c>
      <c r="E465" t="s">
        <v>1508</v>
      </c>
      <c r="F465" t="s">
        <v>1712</v>
      </c>
      <c r="G465" t="s">
        <v>1719</v>
      </c>
      <c r="H465" t="s">
        <v>1722</v>
      </c>
      <c r="I465" t="s">
        <v>1762</v>
      </c>
      <c r="J465" t="s">
        <v>2020</v>
      </c>
      <c r="K465" t="s">
        <v>2359</v>
      </c>
      <c r="M465" t="s">
        <v>2620</v>
      </c>
      <c r="N465" t="s">
        <v>2727</v>
      </c>
      <c r="O465" t="s">
        <v>2728</v>
      </c>
      <c r="P465">
        <v>0</v>
      </c>
      <c r="Q465">
        <v>0</v>
      </c>
      <c r="R465" t="s">
        <v>2730</v>
      </c>
      <c r="S465" t="s">
        <v>2732</v>
      </c>
      <c r="T465" t="s">
        <v>2749</v>
      </c>
      <c r="U465" t="s">
        <v>3282</v>
      </c>
      <c r="W465" t="s">
        <v>2620</v>
      </c>
      <c r="X465" t="s">
        <v>2729</v>
      </c>
    </row>
    <row r="466" spans="1:24">
      <c r="A466">
        <f>HYPERLINK("https://www.philgeps.gov.ph/GEPSNONPILOT/Tender/SplashBidNoticeAbstractUI.aspx?menuIndex=3&amp;refID=7064768&amp;Result=3","7064768")</f>
        <v>0</v>
      </c>
      <c r="B466" t="s">
        <v>230</v>
      </c>
      <c r="C466" t="s">
        <v>716</v>
      </c>
      <c r="D466" t="s">
        <v>994</v>
      </c>
      <c r="E466" t="s">
        <v>1509</v>
      </c>
      <c r="F466" t="s">
        <v>1712</v>
      </c>
      <c r="G466" t="s">
        <v>1716</v>
      </c>
      <c r="H466" t="s">
        <v>1723</v>
      </c>
      <c r="I466" t="s">
        <v>1729</v>
      </c>
      <c r="J466" t="s">
        <v>1857</v>
      </c>
      <c r="K466" t="s">
        <v>2368</v>
      </c>
      <c r="M466" t="s">
        <v>2621</v>
      </c>
      <c r="N466" t="s">
        <v>2727</v>
      </c>
      <c r="O466" t="s">
        <v>2728</v>
      </c>
      <c r="P466">
        <v>0</v>
      </c>
      <c r="Q466">
        <v>0</v>
      </c>
      <c r="R466" t="s">
        <v>2730</v>
      </c>
      <c r="S466" t="s">
        <v>2732</v>
      </c>
      <c r="T466" t="s">
        <v>2747</v>
      </c>
      <c r="U466" t="s">
        <v>3283</v>
      </c>
      <c r="W466" t="s">
        <v>2621</v>
      </c>
      <c r="X466" t="s">
        <v>2729</v>
      </c>
    </row>
    <row r="467" spans="1:24">
      <c r="A467">
        <f>HYPERLINK("https://www.philgeps.gov.ph/GEPSNONPILOT/Tender/SplashBidNoticeAbstractUI.aspx?menuIndex=3&amp;refID=7064765&amp;Result=3","7064765")</f>
        <v>0</v>
      </c>
      <c r="B467" t="s">
        <v>231</v>
      </c>
      <c r="C467" t="s">
        <v>785</v>
      </c>
      <c r="D467" t="s">
        <v>993</v>
      </c>
      <c r="E467" t="s">
        <v>1510</v>
      </c>
      <c r="F467" t="s">
        <v>1712</v>
      </c>
      <c r="G467" t="s">
        <v>1717</v>
      </c>
      <c r="H467" t="s">
        <v>1722</v>
      </c>
      <c r="I467" t="s">
        <v>1727</v>
      </c>
      <c r="J467" t="s">
        <v>2079</v>
      </c>
      <c r="K467" t="s">
        <v>2358</v>
      </c>
      <c r="M467" t="s">
        <v>2622</v>
      </c>
      <c r="N467" t="s">
        <v>2727</v>
      </c>
      <c r="O467" t="s">
        <v>2728</v>
      </c>
      <c r="P467">
        <v>0</v>
      </c>
      <c r="Q467">
        <v>0</v>
      </c>
      <c r="R467" t="s">
        <v>2730</v>
      </c>
      <c r="S467" t="s">
        <v>2732</v>
      </c>
      <c r="T467" t="s">
        <v>2835</v>
      </c>
      <c r="U467" t="s">
        <v>3284</v>
      </c>
      <c r="V467" t="s">
        <v>3547</v>
      </c>
      <c r="W467" t="s">
        <v>2622</v>
      </c>
      <c r="X467" t="s">
        <v>2729</v>
      </c>
    </row>
    <row r="468" spans="1:24">
      <c r="A468">
        <f>HYPERLINK("https://www.philgeps.gov.ph/GEPSNONPILOT/Tender/SplashBidNoticeAbstractUI.aspx?menuIndex=3&amp;refID=7064773&amp;Result=3","7064773")</f>
        <v>0</v>
      </c>
      <c r="B468" t="s">
        <v>232</v>
      </c>
      <c r="C468" t="s">
        <v>786</v>
      </c>
      <c r="D468" t="s">
        <v>1048</v>
      </c>
      <c r="E468" t="s">
        <v>1511</v>
      </c>
      <c r="F468" t="s">
        <v>1712</v>
      </c>
      <c r="G468" t="s">
        <v>1719</v>
      </c>
      <c r="H468" t="s">
        <v>1722</v>
      </c>
      <c r="I468" t="s">
        <v>1773</v>
      </c>
      <c r="J468" t="s">
        <v>2202</v>
      </c>
      <c r="K468" t="s">
        <v>2366</v>
      </c>
      <c r="M468" t="s">
        <v>2623</v>
      </c>
      <c r="N468" t="s">
        <v>2727</v>
      </c>
      <c r="O468" t="s">
        <v>2728</v>
      </c>
      <c r="P468">
        <v>0</v>
      </c>
      <c r="Q468">
        <v>0</v>
      </c>
      <c r="R468" t="s">
        <v>2730</v>
      </c>
      <c r="S468" t="s">
        <v>2732</v>
      </c>
      <c r="T468" t="s">
        <v>2787</v>
      </c>
      <c r="U468" t="s">
        <v>3285</v>
      </c>
      <c r="W468" t="s">
        <v>2623</v>
      </c>
      <c r="X468" t="s">
        <v>2729</v>
      </c>
    </row>
    <row r="469" spans="1:24">
      <c r="A469">
        <f>HYPERLINK("https://www.philgeps.gov.ph/GEPSNONPILOT/Tender/SplashBidNoticeAbstractUI.aspx?menuIndex=3&amp;refID=7064763&amp;Result=3","7064763")</f>
        <v>0</v>
      </c>
      <c r="B469" t="s">
        <v>233</v>
      </c>
      <c r="C469" t="s">
        <v>787</v>
      </c>
      <c r="D469" t="s">
        <v>1007</v>
      </c>
      <c r="E469" t="s">
        <v>1512</v>
      </c>
      <c r="F469" t="s">
        <v>1712</v>
      </c>
      <c r="G469" t="s">
        <v>1717</v>
      </c>
      <c r="H469" t="s">
        <v>1722</v>
      </c>
      <c r="I469" t="s">
        <v>1750</v>
      </c>
      <c r="J469" t="s">
        <v>1874</v>
      </c>
      <c r="K469" t="s">
        <v>2359</v>
      </c>
      <c r="M469" t="s">
        <v>2624</v>
      </c>
      <c r="N469" t="s">
        <v>2727</v>
      </c>
      <c r="O469" t="s">
        <v>2728</v>
      </c>
      <c r="P469">
        <v>0</v>
      </c>
      <c r="Q469">
        <v>0</v>
      </c>
      <c r="R469" t="s">
        <v>2730</v>
      </c>
      <c r="S469" t="s">
        <v>2732</v>
      </c>
      <c r="T469" t="s">
        <v>2741</v>
      </c>
      <c r="U469" t="s">
        <v>3286</v>
      </c>
      <c r="W469" t="s">
        <v>2624</v>
      </c>
      <c r="X469" t="s">
        <v>2729</v>
      </c>
    </row>
    <row r="470" spans="1:24">
      <c r="A470">
        <f>HYPERLINK("https://www.philgeps.gov.ph/GEPSNONPILOT/Tender/SplashBidNoticeAbstractUI.aspx?menuIndex=3&amp;refID=7064774&amp;Result=3","7064774")</f>
        <v>0</v>
      </c>
      <c r="B470" t="s">
        <v>181</v>
      </c>
      <c r="C470" t="s">
        <v>788</v>
      </c>
      <c r="D470" t="s">
        <v>1025</v>
      </c>
      <c r="E470" t="s">
        <v>1513</v>
      </c>
      <c r="F470" t="s">
        <v>1712</v>
      </c>
      <c r="G470" t="s">
        <v>1716</v>
      </c>
      <c r="H470" t="s">
        <v>1722</v>
      </c>
      <c r="I470" t="s">
        <v>1727</v>
      </c>
      <c r="J470" t="s">
        <v>2171</v>
      </c>
      <c r="K470" t="s">
        <v>2366</v>
      </c>
      <c r="M470" t="s">
        <v>2572</v>
      </c>
      <c r="N470" t="s">
        <v>2727</v>
      </c>
      <c r="O470" t="s">
        <v>2728</v>
      </c>
      <c r="P470">
        <v>0</v>
      </c>
      <c r="Q470">
        <v>0</v>
      </c>
      <c r="R470" t="s">
        <v>2730</v>
      </c>
      <c r="S470" t="s">
        <v>2732</v>
      </c>
      <c r="T470" t="s">
        <v>2829</v>
      </c>
      <c r="U470" t="s">
        <v>3245</v>
      </c>
      <c r="V470" t="s">
        <v>3533</v>
      </c>
      <c r="W470" t="s">
        <v>2572</v>
      </c>
      <c r="X470" t="s">
        <v>2729</v>
      </c>
    </row>
    <row r="471" spans="1:24">
      <c r="A471">
        <f>HYPERLINK("https://www.philgeps.gov.ph/GEPSNONPILOT/Tender/SplashBidNoticeAbstractUI.aspx?menuIndex=3&amp;refID=7064764&amp;Result=3","7064764")</f>
        <v>0</v>
      </c>
      <c r="B471" t="s">
        <v>166</v>
      </c>
      <c r="C471" t="s">
        <v>789</v>
      </c>
      <c r="D471" t="s">
        <v>1021</v>
      </c>
      <c r="E471" t="s">
        <v>1514</v>
      </c>
      <c r="F471" t="s">
        <v>1712</v>
      </c>
      <c r="G471" t="s">
        <v>1716</v>
      </c>
      <c r="H471" t="s">
        <v>1722</v>
      </c>
      <c r="I471" t="s">
        <v>1737</v>
      </c>
      <c r="J471" t="s">
        <v>2203</v>
      </c>
      <c r="K471" t="s">
        <v>2366</v>
      </c>
      <c r="M471" t="s">
        <v>2557</v>
      </c>
      <c r="N471" t="s">
        <v>2727</v>
      </c>
      <c r="O471" t="s">
        <v>2728</v>
      </c>
      <c r="P471">
        <v>0</v>
      </c>
      <c r="Q471">
        <v>0</v>
      </c>
      <c r="R471" t="s">
        <v>2730</v>
      </c>
      <c r="S471" t="s">
        <v>2732</v>
      </c>
      <c r="T471" t="s">
        <v>2757</v>
      </c>
      <c r="U471" t="s">
        <v>3193</v>
      </c>
      <c r="V471" t="s">
        <v>3528</v>
      </c>
      <c r="W471" t="s">
        <v>2557</v>
      </c>
      <c r="X471" t="s">
        <v>2729</v>
      </c>
    </row>
    <row r="472" spans="1:24">
      <c r="A472">
        <f>HYPERLINK("https://www.philgeps.gov.ph/GEPSNONPILOT/Tender/SplashBidNoticeAbstractUI.aspx?menuIndex=3&amp;refID=7064766&amp;Result=3","7064766")</f>
        <v>0</v>
      </c>
      <c r="B472" t="s">
        <v>206</v>
      </c>
      <c r="C472" t="s">
        <v>790</v>
      </c>
      <c r="E472" t="s">
        <v>1515</v>
      </c>
      <c r="F472" t="s">
        <v>1712</v>
      </c>
      <c r="G472" t="s">
        <v>1717</v>
      </c>
      <c r="H472" t="s">
        <v>1722</v>
      </c>
      <c r="I472" t="s">
        <v>1768</v>
      </c>
      <c r="J472" t="s">
        <v>2204</v>
      </c>
      <c r="K472" t="s">
        <v>2371</v>
      </c>
      <c r="M472" t="s">
        <v>2597</v>
      </c>
      <c r="N472" t="s">
        <v>2727</v>
      </c>
      <c r="O472" t="s">
        <v>2728</v>
      </c>
      <c r="P472">
        <v>0</v>
      </c>
      <c r="Q472">
        <v>0</v>
      </c>
      <c r="R472" t="s">
        <v>2730</v>
      </c>
      <c r="S472" t="s">
        <v>2732</v>
      </c>
      <c r="T472" t="s">
        <v>2741</v>
      </c>
      <c r="U472" t="s">
        <v>3287</v>
      </c>
      <c r="W472" t="s">
        <v>2597</v>
      </c>
      <c r="X472" t="s">
        <v>2729</v>
      </c>
    </row>
    <row r="473" spans="1:24">
      <c r="A473">
        <f>HYPERLINK("https://www.philgeps.gov.ph/GEPSNONPILOT/Tender/SplashBidNoticeAbstractUI.aspx?menuIndex=3&amp;refID=7064771&amp;Result=3","7064771")</f>
        <v>0</v>
      </c>
      <c r="B473" t="s">
        <v>234</v>
      </c>
      <c r="C473" t="s">
        <v>791</v>
      </c>
      <c r="D473" t="s">
        <v>1008</v>
      </c>
      <c r="E473" t="s">
        <v>1516</v>
      </c>
      <c r="F473" t="s">
        <v>1712</v>
      </c>
      <c r="G473" t="s">
        <v>1717</v>
      </c>
      <c r="H473" t="s">
        <v>1722</v>
      </c>
      <c r="I473" t="s">
        <v>1734</v>
      </c>
      <c r="J473" t="s">
        <v>2108</v>
      </c>
      <c r="K473" t="s">
        <v>2405</v>
      </c>
      <c r="M473" t="s">
        <v>2625</v>
      </c>
      <c r="N473" t="s">
        <v>2727</v>
      </c>
      <c r="O473" t="s">
        <v>2728</v>
      </c>
      <c r="P473">
        <v>0</v>
      </c>
      <c r="Q473">
        <v>0</v>
      </c>
      <c r="R473" t="s">
        <v>2730</v>
      </c>
      <c r="S473" t="s">
        <v>2732</v>
      </c>
      <c r="T473" t="s">
        <v>2753</v>
      </c>
      <c r="U473" t="s">
        <v>3288</v>
      </c>
      <c r="W473" t="s">
        <v>2625</v>
      </c>
      <c r="X473" t="s">
        <v>2729</v>
      </c>
    </row>
    <row r="474" spans="1:24">
      <c r="A474">
        <f>HYPERLINK("https://www.philgeps.gov.ph/GEPSNONPILOT/Tender/SplashBidNoticeAbstractUI.aspx?menuIndex=3&amp;refID=7064781&amp;Result=3","7064781")</f>
        <v>0</v>
      </c>
      <c r="B474" t="s">
        <v>235</v>
      </c>
      <c r="C474" t="s">
        <v>792</v>
      </c>
      <c r="D474" t="s">
        <v>1046</v>
      </c>
      <c r="E474" t="s">
        <v>1517</v>
      </c>
      <c r="F474" t="s">
        <v>1712</v>
      </c>
      <c r="G474" t="s">
        <v>1716</v>
      </c>
      <c r="H474" t="s">
        <v>1723</v>
      </c>
      <c r="I474" t="s">
        <v>1729</v>
      </c>
      <c r="J474" t="s">
        <v>2205</v>
      </c>
      <c r="K474" t="s">
        <v>2370</v>
      </c>
      <c r="M474" t="s">
        <v>2626</v>
      </c>
      <c r="N474" t="s">
        <v>2727</v>
      </c>
      <c r="O474" t="s">
        <v>2728</v>
      </c>
      <c r="P474">
        <v>0</v>
      </c>
      <c r="Q474">
        <v>0</v>
      </c>
      <c r="R474" t="s">
        <v>2730</v>
      </c>
      <c r="S474" t="s">
        <v>2732</v>
      </c>
      <c r="T474" t="s">
        <v>2827</v>
      </c>
      <c r="U474" t="s">
        <v>3289</v>
      </c>
      <c r="W474" t="s">
        <v>2626</v>
      </c>
      <c r="X474" t="s">
        <v>2729</v>
      </c>
    </row>
    <row r="475" spans="1:24">
      <c r="A475">
        <f>HYPERLINK("https://www.philgeps.gov.ph/GEPSNONPILOT/Tender/SplashBidNoticeAbstractUI.aspx?menuIndex=3&amp;refID=7064779&amp;Result=3","7064779")</f>
        <v>0</v>
      </c>
      <c r="B475" t="s">
        <v>199</v>
      </c>
      <c r="C475" t="s">
        <v>793</v>
      </c>
      <c r="D475" t="s">
        <v>1055</v>
      </c>
      <c r="E475" t="s">
        <v>1518</v>
      </c>
      <c r="F475" t="s">
        <v>1712</v>
      </c>
      <c r="G475" t="s">
        <v>1717</v>
      </c>
      <c r="H475" t="s">
        <v>1722</v>
      </c>
      <c r="I475" t="s">
        <v>1741</v>
      </c>
      <c r="J475" t="s">
        <v>2206</v>
      </c>
      <c r="K475" t="s">
        <v>2366</v>
      </c>
      <c r="M475" t="s">
        <v>2590</v>
      </c>
      <c r="N475" t="s">
        <v>2727</v>
      </c>
      <c r="O475" t="s">
        <v>2728</v>
      </c>
      <c r="P475">
        <v>0</v>
      </c>
      <c r="Q475">
        <v>1</v>
      </c>
      <c r="R475" t="s">
        <v>2730</v>
      </c>
      <c r="S475" t="s">
        <v>2732</v>
      </c>
      <c r="T475" t="s">
        <v>2778</v>
      </c>
      <c r="U475" t="s">
        <v>3290</v>
      </c>
      <c r="V475" t="s">
        <v>3538</v>
      </c>
      <c r="W475" t="s">
        <v>2590</v>
      </c>
      <c r="X475" t="s">
        <v>2729</v>
      </c>
    </row>
    <row r="476" spans="1:24">
      <c r="A476">
        <f>HYPERLINK("https://www.philgeps.gov.ph/GEPSNONPILOT/Tender/SplashBidNoticeAbstractUI.aspx?menuIndex=3&amp;refID=7064767&amp;Result=3","7064767")</f>
        <v>0</v>
      </c>
      <c r="B476" t="s">
        <v>192</v>
      </c>
      <c r="C476" t="s">
        <v>794</v>
      </c>
      <c r="D476" t="s">
        <v>1022</v>
      </c>
      <c r="E476" t="s">
        <v>1519</v>
      </c>
      <c r="F476" t="s">
        <v>1712</v>
      </c>
      <c r="G476" t="s">
        <v>1716</v>
      </c>
      <c r="H476" t="s">
        <v>1722</v>
      </c>
      <c r="I476" t="s">
        <v>1726</v>
      </c>
      <c r="J476" t="s">
        <v>2005</v>
      </c>
      <c r="K476" t="s">
        <v>2367</v>
      </c>
      <c r="M476" t="s">
        <v>2583</v>
      </c>
      <c r="N476" t="s">
        <v>2727</v>
      </c>
      <c r="O476" t="s">
        <v>2728</v>
      </c>
      <c r="P476">
        <v>0</v>
      </c>
      <c r="Q476">
        <v>3</v>
      </c>
      <c r="R476" t="s">
        <v>2730</v>
      </c>
      <c r="S476" t="s">
        <v>2732</v>
      </c>
      <c r="T476" t="s">
        <v>2777</v>
      </c>
      <c r="U476" t="s">
        <v>3291</v>
      </c>
      <c r="W476" t="s">
        <v>2583</v>
      </c>
      <c r="X476" t="s">
        <v>2729</v>
      </c>
    </row>
    <row r="477" spans="1:24">
      <c r="A477">
        <f>HYPERLINK("https://www.philgeps.gov.ph/GEPSNONPILOT/Tender/SplashBidNoticeAbstractUI.aspx?menuIndex=3&amp;refID=7064780&amp;Result=3","7064780")</f>
        <v>0</v>
      </c>
      <c r="B477" t="s">
        <v>236</v>
      </c>
      <c r="C477" t="s">
        <v>795</v>
      </c>
      <c r="D477" t="s">
        <v>1008</v>
      </c>
      <c r="E477" t="s">
        <v>1520</v>
      </c>
      <c r="F477" t="s">
        <v>1712</v>
      </c>
      <c r="G477" t="s">
        <v>1718</v>
      </c>
      <c r="H477" t="s">
        <v>1722</v>
      </c>
      <c r="I477" t="s">
        <v>1734</v>
      </c>
      <c r="J477" t="s">
        <v>2207</v>
      </c>
      <c r="K477" t="s">
        <v>2359</v>
      </c>
      <c r="M477" t="s">
        <v>2627</v>
      </c>
      <c r="N477" t="s">
        <v>2727</v>
      </c>
      <c r="O477" t="s">
        <v>2728</v>
      </c>
      <c r="P477">
        <v>0</v>
      </c>
      <c r="Q477">
        <v>0</v>
      </c>
      <c r="R477" t="s">
        <v>2730</v>
      </c>
      <c r="S477" t="s">
        <v>2732</v>
      </c>
      <c r="T477" t="s">
        <v>2748</v>
      </c>
      <c r="U477" t="s">
        <v>3292</v>
      </c>
      <c r="W477" t="s">
        <v>2627</v>
      </c>
      <c r="X477" t="s">
        <v>2729</v>
      </c>
    </row>
    <row r="478" spans="1:24">
      <c r="A478">
        <f>HYPERLINK("https://www.philgeps.gov.ph/GEPSNONPILOT/Tender/SplashBidNoticeAbstractUI.aspx?menuIndex=3&amp;refID=7064777&amp;Result=3","7064777")</f>
        <v>0</v>
      </c>
      <c r="B478" t="s">
        <v>237</v>
      </c>
      <c r="C478" t="s">
        <v>796</v>
      </c>
      <c r="D478" t="s">
        <v>1052</v>
      </c>
      <c r="E478" t="s">
        <v>1521</v>
      </c>
      <c r="F478" t="s">
        <v>1712</v>
      </c>
      <c r="G478" t="s">
        <v>1717</v>
      </c>
      <c r="H478" t="s">
        <v>1722</v>
      </c>
      <c r="I478" t="s">
        <v>1760</v>
      </c>
      <c r="J478" t="s">
        <v>2208</v>
      </c>
      <c r="K478" t="s">
        <v>2359</v>
      </c>
      <c r="M478" t="s">
        <v>2628</v>
      </c>
      <c r="N478" t="s">
        <v>2727</v>
      </c>
      <c r="O478" t="s">
        <v>2728</v>
      </c>
      <c r="P478">
        <v>0</v>
      </c>
      <c r="Q478">
        <v>0</v>
      </c>
      <c r="R478" t="s">
        <v>2730</v>
      </c>
      <c r="S478" t="s">
        <v>2732</v>
      </c>
      <c r="T478" t="s">
        <v>2768</v>
      </c>
      <c r="U478" t="s">
        <v>3293</v>
      </c>
      <c r="W478" t="s">
        <v>2628</v>
      </c>
      <c r="X478" t="s">
        <v>2729</v>
      </c>
    </row>
    <row r="479" spans="1:24">
      <c r="A479">
        <f>HYPERLINK("https://www.philgeps.gov.ph/GEPSNONPILOT/Tender/SplashBidNoticeAbstractUI.aspx?menuIndex=3&amp;refID=7064778&amp;Result=3","7064778")</f>
        <v>0</v>
      </c>
      <c r="B479" t="s">
        <v>178</v>
      </c>
      <c r="C479" t="s">
        <v>797</v>
      </c>
      <c r="D479" t="s">
        <v>1004</v>
      </c>
      <c r="E479" t="s">
        <v>1522</v>
      </c>
      <c r="F479" t="s">
        <v>1712</v>
      </c>
      <c r="G479" t="s">
        <v>1716</v>
      </c>
      <c r="H479" t="s">
        <v>1722</v>
      </c>
      <c r="I479" t="s">
        <v>1734</v>
      </c>
      <c r="J479" t="s">
        <v>2209</v>
      </c>
      <c r="K479" t="s">
        <v>2358</v>
      </c>
      <c r="M479" t="s">
        <v>2569</v>
      </c>
      <c r="N479" t="s">
        <v>2727</v>
      </c>
      <c r="O479" t="s">
        <v>2728</v>
      </c>
      <c r="P479">
        <v>0</v>
      </c>
      <c r="Q479">
        <v>0</v>
      </c>
      <c r="R479" t="s">
        <v>2730</v>
      </c>
      <c r="S479" t="s">
        <v>2732</v>
      </c>
      <c r="T479" t="s">
        <v>2771</v>
      </c>
      <c r="U479" t="s">
        <v>3294</v>
      </c>
      <c r="W479" t="s">
        <v>2569</v>
      </c>
      <c r="X479" t="s">
        <v>2729</v>
      </c>
    </row>
    <row r="480" spans="1:24">
      <c r="A480">
        <f>HYPERLINK("https://www.philgeps.gov.ph/GEPSNONPILOT/Tender/SplashBidNoticeAbstractUI.aspx?menuIndex=3&amp;refID=7064776&amp;Result=3","7064776")</f>
        <v>0</v>
      </c>
      <c r="B480" t="s">
        <v>166</v>
      </c>
      <c r="C480" t="s">
        <v>798</v>
      </c>
      <c r="D480" t="s">
        <v>1021</v>
      </c>
      <c r="E480" t="s">
        <v>1523</v>
      </c>
      <c r="F480" t="s">
        <v>1712</v>
      </c>
      <c r="G480" t="s">
        <v>1716</v>
      </c>
      <c r="H480" t="s">
        <v>1722</v>
      </c>
      <c r="I480" t="s">
        <v>1737</v>
      </c>
      <c r="J480" t="s">
        <v>2210</v>
      </c>
      <c r="K480" t="s">
        <v>2366</v>
      </c>
      <c r="M480" t="s">
        <v>2557</v>
      </c>
      <c r="N480" t="s">
        <v>2727</v>
      </c>
      <c r="O480" t="s">
        <v>2728</v>
      </c>
      <c r="P480">
        <v>0</v>
      </c>
      <c r="Q480">
        <v>0</v>
      </c>
      <c r="R480" t="s">
        <v>2730</v>
      </c>
      <c r="S480" t="s">
        <v>2732</v>
      </c>
      <c r="T480" t="s">
        <v>2757</v>
      </c>
      <c r="U480" t="s">
        <v>3193</v>
      </c>
      <c r="V480" t="s">
        <v>3528</v>
      </c>
      <c r="W480" t="s">
        <v>2557</v>
      </c>
      <c r="X480" t="s">
        <v>2729</v>
      </c>
    </row>
    <row r="481" spans="1:24">
      <c r="A481">
        <f>HYPERLINK("https://www.philgeps.gov.ph/GEPSNONPILOT/Tender/SplashBidNoticeAbstractUI.aspx?menuIndex=3&amp;refID=7064786&amp;Result=3","7064786")</f>
        <v>0</v>
      </c>
      <c r="B481" t="s">
        <v>233</v>
      </c>
      <c r="C481" t="s">
        <v>799</v>
      </c>
      <c r="D481" t="s">
        <v>1007</v>
      </c>
      <c r="E481" t="s">
        <v>1524</v>
      </c>
      <c r="F481" t="s">
        <v>1712</v>
      </c>
      <c r="G481" t="s">
        <v>1717</v>
      </c>
      <c r="H481" t="s">
        <v>1722</v>
      </c>
      <c r="I481" t="s">
        <v>1768</v>
      </c>
      <c r="J481" t="s">
        <v>2211</v>
      </c>
      <c r="K481" t="s">
        <v>2359</v>
      </c>
      <c r="M481" t="s">
        <v>2624</v>
      </c>
      <c r="N481" t="s">
        <v>2727</v>
      </c>
      <c r="O481" t="s">
        <v>2728</v>
      </c>
      <c r="P481">
        <v>0</v>
      </c>
      <c r="Q481">
        <v>0</v>
      </c>
      <c r="R481" t="s">
        <v>2730</v>
      </c>
      <c r="S481" t="s">
        <v>2732</v>
      </c>
      <c r="T481" t="s">
        <v>2741</v>
      </c>
      <c r="U481" t="s">
        <v>3295</v>
      </c>
      <c r="W481" t="s">
        <v>2624</v>
      </c>
      <c r="X481" t="s">
        <v>2729</v>
      </c>
    </row>
    <row r="482" spans="1:24">
      <c r="A482">
        <f>HYPERLINK("https://www.philgeps.gov.ph/GEPSNONPILOT/Tender/SplashBidNoticeAbstractUI.aspx?menuIndex=3&amp;refID=7064784&amp;Result=3","7064784")</f>
        <v>0</v>
      </c>
      <c r="B482" t="s">
        <v>201</v>
      </c>
      <c r="C482" t="s">
        <v>800</v>
      </c>
      <c r="D482" t="s">
        <v>1046</v>
      </c>
      <c r="E482" t="s">
        <v>1525</v>
      </c>
      <c r="F482" t="s">
        <v>1712</v>
      </c>
      <c r="G482" t="s">
        <v>1716</v>
      </c>
      <c r="H482" t="s">
        <v>1722</v>
      </c>
      <c r="I482" t="s">
        <v>1727</v>
      </c>
      <c r="J482" t="s">
        <v>2212</v>
      </c>
      <c r="K482" t="s">
        <v>2366</v>
      </c>
      <c r="M482" t="s">
        <v>2592</v>
      </c>
      <c r="N482" t="s">
        <v>2727</v>
      </c>
      <c r="O482" t="s">
        <v>2728</v>
      </c>
      <c r="P482">
        <v>0</v>
      </c>
      <c r="Q482">
        <v>0</v>
      </c>
      <c r="R482" t="s">
        <v>2730</v>
      </c>
      <c r="S482" t="s">
        <v>2732</v>
      </c>
      <c r="T482" t="s">
        <v>2836</v>
      </c>
      <c r="U482" t="s">
        <v>3296</v>
      </c>
      <c r="W482" t="s">
        <v>2592</v>
      </c>
      <c r="X482" t="s">
        <v>2729</v>
      </c>
    </row>
    <row r="483" spans="1:24">
      <c r="A483">
        <f>HYPERLINK("https://www.philgeps.gov.ph/GEPSNONPILOT/Tender/SplashBidNoticeAbstractUI.aspx?menuIndex=3&amp;refID=7064775&amp;Result=3","7064775")</f>
        <v>0</v>
      </c>
      <c r="B483" t="s">
        <v>238</v>
      </c>
      <c r="C483" t="s">
        <v>801</v>
      </c>
      <c r="D483" t="s">
        <v>1003</v>
      </c>
      <c r="E483" t="s">
        <v>1526</v>
      </c>
      <c r="F483" t="s">
        <v>1712</v>
      </c>
      <c r="G483" t="s">
        <v>1716</v>
      </c>
      <c r="H483" t="s">
        <v>1723</v>
      </c>
      <c r="I483" t="s">
        <v>1729</v>
      </c>
      <c r="J483" t="s">
        <v>1997</v>
      </c>
      <c r="K483" t="s">
        <v>2367</v>
      </c>
      <c r="M483" t="s">
        <v>2629</v>
      </c>
      <c r="N483" t="s">
        <v>2727</v>
      </c>
      <c r="O483" t="s">
        <v>2728</v>
      </c>
      <c r="P483">
        <v>0</v>
      </c>
      <c r="Q483">
        <v>0</v>
      </c>
      <c r="R483" t="s">
        <v>2730</v>
      </c>
      <c r="S483" t="s">
        <v>2732</v>
      </c>
      <c r="T483" t="s">
        <v>2837</v>
      </c>
      <c r="U483" t="s">
        <v>3297</v>
      </c>
      <c r="W483" t="s">
        <v>2629</v>
      </c>
      <c r="X483" t="s">
        <v>2729</v>
      </c>
    </row>
    <row r="484" spans="1:24">
      <c r="A484">
        <f>HYPERLINK("https://www.philgeps.gov.ph/GEPSNONPILOT/Tender/SplashBidNoticeAbstractUI.aspx?menuIndex=3&amp;refID=7064798&amp;Result=3","7064798")</f>
        <v>0</v>
      </c>
      <c r="B484" t="s">
        <v>239</v>
      </c>
      <c r="C484" t="s">
        <v>802</v>
      </c>
      <c r="D484" t="s">
        <v>1014</v>
      </c>
      <c r="E484" t="s">
        <v>1527</v>
      </c>
      <c r="F484" t="s">
        <v>1712</v>
      </c>
      <c r="G484" t="s">
        <v>1718</v>
      </c>
      <c r="H484" t="s">
        <v>1722</v>
      </c>
      <c r="I484" t="s">
        <v>1744</v>
      </c>
      <c r="J484" t="s">
        <v>2213</v>
      </c>
      <c r="K484" t="s">
        <v>2358</v>
      </c>
      <c r="M484" t="s">
        <v>2630</v>
      </c>
      <c r="N484" t="s">
        <v>2727</v>
      </c>
      <c r="O484" t="s">
        <v>2728</v>
      </c>
      <c r="P484">
        <v>0</v>
      </c>
      <c r="Q484">
        <v>0</v>
      </c>
      <c r="R484" t="s">
        <v>2730</v>
      </c>
      <c r="S484" t="s">
        <v>2732</v>
      </c>
      <c r="T484" t="s">
        <v>2747</v>
      </c>
      <c r="U484" t="s">
        <v>3298</v>
      </c>
      <c r="W484" t="s">
        <v>2630</v>
      </c>
      <c r="X484" t="s">
        <v>2729</v>
      </c>
    </row>
    <row r="485" spans="1:24">
      <c r="A485">
        <f>HYPERLINK("https://www.philgeps.gov.ph/GEPSNONPILOT/Tender/SplashBidNoticeAbstractUI.aspx?menuIndex=3&amp;refID=7064797&amp;Result=3","7064797")</f>
        <v>0</v>
      </c>
      <c r="B485" t="s">
        <v>240</v>
      </c>
      <c r="C485" t="s">
        <v>803</v>
      </c>
      <c r="D485" t="s">
        <v>1014</v>
      </c>
      <c r="E485" t="s">
        <v>1528</v>
      </c>
      <c r="F485" t="s">
        <v>1712</v>
      </c>
      <c r="G485" t="s">
        <v>1716</v>
      </c>
      <c r="H485" t="s">
        <v>1723</v>
      </c>
      <c r="I485" t="s">
        <v>1729</v>
      </c>
      <c r="J485" t="s">
        <v>2079</v>
      </c>
      <c r="K485" t="s">
        <v>2372</v>
      </c>
      <c r="L485" t="s">
        <v>240</v>
      </c>
      <c r="M485" t="s">
        <v>2631</v>
      </c>
      <c r="N485" t="s">
        <v>2727</v>
      </c>
      <c r="O485" t="s">
        <v>2728</v>
      </c>
      <c r="P485">
        <v>0</v>
      </c>
      <c r="Q485">
        <v>0</v>
      </c>
      <c r="R485" t="s">
        <v>2730</v>
      </c>
      <c r="S485" t="s">
        <v>2732</v>
      </c>
      <c r="T485" t="s">
        <v>2838</v>
      </c>
      <c r="U485" t="s">
        <v>3299</v>
      </c>
      <c r="V485" t="s">
        <v>3548</v>
      </c>
      <c r="W485" t="s">
        <v>2631</v>
      </c>
      <c r="X485" t="s">
        <v>2729</v>
      </c>
    </row>
    <row r="486" spans="1:24">
      <c r="A486">
        <f>HYPERLINK("https://www.philgeps.gov.ph/GEPSNONPILOT/Tender/SplashBidNoticeAbstractUI.aspx?menuIndex=3&amp;refID=7064795&amp;Result=3","7064795")</f>
        <v>0</v>
      </c>
      <c r="B486" t="s">
        <v>206</v>
      </c>
      <c r="C486" t="s">
        <v>804</v>
      </c>
      <c r="E486" t="s">
        <v>1529</v>
      </c>
      <c r="F486" t="s">
        <v>1712</v>
      </c>
      <c r="G486" t="s">
        <v>1717</v>
      </c>
      <c r="H486" t="s">
        <v>1722</v>
      </c>
      <c r="I486" t="s">
        <v>1726</v>
      </c>
      <c r="J486" t="s">
        <v>1805</v>
      </c>
      <c r="K486" t="s">
        <v>2358</v>
      </c>
      <c r="M486" t="s">
        <v>2597</v>
      </c>
      <c r="N486" t="s">
        <v>2727</v>
      </c>
      <c r="O486" t="s">
        <v>2728</v>
      </c>
      <c r="P486">
        <v>0</v>
      </c>
      <c r="Q486">
        <v>0</v>
      </c>
      <c r="R486" t="s">
        <v>2730</v>
      </c>
      <c r="S486" t="s">
        <v>2732</v>
      </c>
      <c r="T486" t="s">
        <v>2741</v>
      </c>
      <c r="U486" t="s">
        <v>3300</v>
      </c>
      <c r="W486" t="s">
        <v>2597</v>
      </c>
      <c r="X486" t="s">
        <v>2729</v>
      </c>
    </row>
    <row r="487" spans="1:24">
      <c r="A487">
        <f>HYPERLINK("https://www.philgeps.gov.ph/GEPSNONPILOT/Tender/SplashBidNoticeAbstractUI.aspx?menuIndex=3&amp;refID=7064794&amp;Result=3","7064794")</f>
        <v>0</v>
      </c>
      <c r="B487" t="s">
        <v>218</v>
      </c>
      <c r="C487" t="s">
        <v>805</v>
      </c>
      <c r="D487" t="s">
        <v>1057</v>
      </c>
      <c r="E487" t="s">
        <v>1530</v>
      </c>
      <c r="F487" t="s">
        <v>1712</v>
      </c>
      <c r="G487" t="s">
        <v>1717</v>
      </c>
      <c r="H487" t="s">
        <v>1723</v>
      </c>
      <c r="I487" t="s">
        <v>1729</v>
      </c>
      <c r="J487" t="s">
        <v>2214</v>
      </c>
      <c r="K487" t="s">
        <v>2366</v>
      </c>
      <c r="M487" t="s">
        <v>2609</v>
      </c>
      <c r="N487" t="s">
        <v>2727</v>
      </c>
      <c r="O487" t="s">
        <v>2728</v>
      </c>
      <c r="P487">
        <v>0</v>
      </c>
      <c r="Q487">
        <v>0</v>
      </c>
      <c r="R487" t="s">
        <v>2730</v>
      </c>
      <c r="S487" t="s">
        <v>2732</v>
      </c>
      <c r="T487" t="s">
        <v>2812</v>
      </c>
      <c r="U487" t="s">
        <v>3301</v>
      </c>
      <c r="V487" t="s">
        <v>3543</v>
      </c>
      <c r="W487" t="s">
        <v>2609</v>
      </c>
      <c r="X487" t="s">
        <v>2729</v>
      </c>
    </row>
    <row r="488" spans="1:24">
      <c r="A488">
        <f>HYPERLINK("https://www.philgeps.gov.ph/GEPSNONPILOT/Tender/SplashBidNoticeAbstractUI.aspx?menuIndex=3&amp;refID=7064793&amp;Result=3","7064793")</f>
        <v>0</v>
      </c>
      <c r="B488" t="s">
        <v>241</v>
      </c>
      <c r="C488" t="s">
        <v>806</v>
      </c>
      <c r="D488" t="s">
        <v>1057</v>
      </c>
      <c r="E488" t="s">
        <v>1531</v>
      </c>
      <c r="F488" t="s">
        <v>1712</v>
      </c>
      <c r="G488" t="s">
        <v>1717</v>
      </c>
      <c r="H488" t="s">
        <v>1722</v>
      </c>
      <c r="I488" t="s">
        <v>1750</v>
      </c>
      <c r="J488" t="s">
        <v>2092</v>
      </c>
      <c r="K488" t="s">
        <v>2359</v>
      </c>
      <c r="M488" t="s">
        <v>2632</v>
      </c>
      <c r="N488" t="s">
        <v>2727</v>
      </c>
      <c r="O488" t="s">
        <v>2728</v>
      </c>
      <c r="P488">
        <v>0</v>
      </c>
      <c r="Q488">
        <v>0</v>
      </c>
      <c r="R488" t="s">
        <v>2730</v>
      </c>
      <c r="S488" t="s">
        <v>2732</v>
      </c>
      <c r="T488" t="s">
        <v>2749</v>
      </c>
      <c r="U488" t="s">
        <v>3302</v>
      </c>
      <c r="W488" t="s">
        <v>2632</v>
      </c>
      <c r="X488" t="s">
        <v>2729</v>
      </c>
    </row>
    <row r="489" spans="1:24">
      <c r="A489">
        <f>HYPERLINK("https://www.philgeps.gov.ph/GEPSNONPILOT/Tender/SplashBidNoticeAbstractUI.aspx?menuIndex=3&amp;refID=7064796&amp;Result=3","7064796")</f>
        <v>0</v>
      </c>
      <c r="B489" t="s">
        <v>186</v>
      </c>
      <c r="C489" t="s">
        <v>807</v>
      </c>
      <c r="D489" t="s">
        <v>1033</v>
      </c>
      <c r="E489" t="s">
        <v>1532</v>
      </c>
      <c r="F489" t="s">
        <v>1712</v>
      </c>
      <c r="G489" t="s">
        <v>1717</v>
      </c>
      <c r="H489" t="s">
        <v>1722</v>
      </c>
      <c r="I489" t="s">
        <v>1788</v>
      </c>
      <c r="J489" t="s">
        <v>2215</v>
      </c>
      <c r="K489" t="s">
        <v>2360</v>
      </c>
      <c r="M489" t="s">
        <v>2577</v>
      </c>
      <c r="N489" t="s">
        <v>2727</v>
      </c>
      <c r="O489" t="s">
        <v>2728</v>
      </c>
      <c r="P489">
        <v>0</v>
      </c>
      <c r="Q489">
        <v>0</v>
      </c>
      <c r="R489" t="s">
        <v>2730</v>
      </c>
      <c r="S489" t="s">
        <v>2732</v>
      </c>
      <c r="T489" t="s">
        <v>2787</v>
      </c>
      <c r="U489" t="s">
        <v>3303</v>
      </c>
      <c r="W489" t="s">
        <v>2577</v>
      </c>
      <c r="X489" t="s">
        <v>2729</v>
      </c>
    </row>
    <row r="490" spans="1:24">
      <c r="A490">
        <f>HYPERLINK("https://www.philgeps.gov.ph/GEPSNONPILOT/Tender/SplashBidNoticeAbstractUI.aspx?menuIndex=3&amp;refID=7064791&amp;Result=3","7064791")</f>
        <v>0</v>
      </c>
      <c r="B490" t="s">
        <v>220</v>
      </c>
      <c r="C490" t="s">
        <v>808</v>
      </c>
      <c r="D490" t="s">
        <v>1029</v>
      </c>
      <c r="E490" t="s">
        <v>1533</v>
      </c>
      <c r="F490" t="s">
        <v>1712</v>
      </c>
      <c r="G490" t="s">
        <v>1718</v>
      </c>
      <c r="H490" t="s">
        <v>1722</v>
      </c>
      <c r="I490" t="s">
        <v>1789</v>
      </c>
      <c r="J490" t="s">
        <v>2216</v>
      </c>
      <c r="K490" t="s">
        <v>2359</v>
      </c>
      <c r="M490" t="s">
        <v>2611</v>
      </c>
      <c r="N490" t="s">
        <v>2727</v>
      </c>
      <c r="O490" t="s">
        <v>2728</v>
      </c>
      <c r="P490">
        <v>0</v>
      </c>
      <c r="Q490">
        <v>0</v>
      </c>
      <c r="R490" t="s">
        <v>2730</v>
      </c>
      <c r="S490" t="s">
        <v>2732</v>
      </c>
      <c r="T490" t="s">
        <v>2787</v>
      </c>
      <c r="U490" t="s">
        <v>3268</v>
      </c>
      <c r="W490" t="s">
        <v>2611</v>
      </c>
      <c r="X490" t="s">
        <v>2729</v>
      </c>
    </row>
    <row r="491" spans="1:24">
      <c r="A491">
        <f>HYPERLINK("https://www.philgeps.gov.ph/GEPSNONPILOT/Tender/SplashBidNoticeAbstractUI.aspx?menuIndex=3&amp;refID=7064812&amp;Result=3","7064812")</f>
        <v>0</v>
      </c>
      <c r="B491" t="s">
        <v>242</v>
      </c>
      <c r="C491" t="s">
        <v>809</v>
      </c>
      <c r="D491" t="s">
        <v>997</v>
      </c>
      <c r="E491" t="s">
        <v>1534</v>
      </c>
      <c r="F491" t="s">
        <v>1712</v>
      </c>
      <c r="G491" t="s">
        <v>1717</v>
      </c>
      <c r="H491" t="s">
        <v>1722</v>
      </c>
      <c r="I491" t="s">
        <v>1734</v>
      </c>
      <c r="J491" t="s">
        <v>2217</v>
      </c>
      <c r="K491" t="s">
        <v>2366</v>
      </c>
      <c r="M491" t="s">
        <v>2633</v>
      </c>
      <c r="N491" t="s">
        <v>2727</v>
      </c>
      <c r="O491" t="s">
        <v>2728</v>
      </c>
      <c r="P491">
        <v>0</v>
      </c>
      <c r="Q491">
        <v>0</v>
      </c>
      <c r="R491" t="s">
        <v>2730</v>
      </c>
      <c r="S491" t="s">
        <v>2732</v>
      </c>
      <c r="T491" t="s">
        <v>2839</v>
      </c>
      <c r="U491" t="s">
        <v>3304</v>
      </c>
      <c r="W491" t="s">
        <v>2633</v>
      </c>
      <c r="X491" t="s">
        <v>2729</v>
      </c>
    </row>
    <row r="492" spans="1:24">
      <c r="A492">
        <f>HYPERLINK("https://www.philgeps.gov.ph/GEPSNONPILOT/Tender/SplashBidNoticeAbstractUI.aspx?menuIndex=3&amp;refID=7064810&amp;Result=3","7064810")</f>
        <v>0</v>
      </c>
      <c r="B492" t="s">
        <v>243</v>
      </c>
      <c r="C492" t="s">
        <v>810</v>
      </c>
      <c r="D492" t="s">
        <v>1020</v>
      </c>
      <c r="E492" t="s">
        <v>1535</v>
      </c>
      <c r="F492" t="s">
        <v>1712</v>
      </c>
      <c r="G492" t="s">
        <v>1716</v>
      </c>
      <c r="H492" t="s">
        <v>1722</v>
      </c>
      <c r="I492" t="s">
        <v>1784</v>
      </c>
      <c r="J492" t="s">
        <v>2218</v>
      </c>
      <c r="K492" t="s">
        <v>2371</v>
      </c>
      <c r="M492" t="s">
        <v>2634</v>
      </c>
      <c r="N492" t="s">
        <v>2727</v>
      </c>
      <c r="O492" t="s">
        <v>2728</v>
      </c>
      <c r="P492">
        <v>0</v>
      </c>
      <c r="Q492">
        <v>0</v>
      </c>
      <c r="R492" t="s">
        <v>2730</v>
      </c>
      <c r="S492" t="s">
        <v>2732</v>
      </c>
      <c r="T492" t="s">
        <v>2840</v>
      </c>
      <c r="U492" t="s">
        <v>3305</v>
      </c>
      <c r="W492" t="s">
        <v>2634</v>
      </c>
      <c r="X492" t="s">
        <v>2729</v>
      </c>
    </row>
    <row r="493" spans="1:24">
      <c r="A493">
        <f>HYPERLINK("https://www.philgeps.gov.ph/GEPSNONPILOT/Tender/SplashBidNoticeAbstractUI.aspx?menuIndex=3&amp;refID=7064790&amp;Result=3","7064790")</f>
        <v>0</v>
      </c>
      <c r="B493" t="s">
        <v>222</v>
      </c>
      <c r="C493" t="s">
        <v>811</v>
      </c>
      <c r="D493" t="s">
        <v>1038</v>
      </c>
      <c r="E493" t="s">
        <v>1536</v>
      </c>
      <c r="F493" t="s">
        <v>1712</v>
      </c>
      <c r="G493" t="s">
        <v>1719</v>
      </c>
      <c r="H493" t="s">
        <v>1722</v>
      </c>
      <c r="I493" t="s">
        <v>1732</v>
      </c>
      <c r="J493" t="s">
        <v>2219</v>
      </c>
      <c r="K493" t="s">
        <v>2366</v>
      </c>
      <c r="M493" t="s">
        <v>2613</v>
      </c>
      <c r="N493" t="s">
        <v>2727</v>
      </c>
      <c r="O493" t="s">
        <v>2728</v>
      </c>
      <c r="P493">
        <v>0</v>
      </c>
      <c r="Q493">
        <v>0</v>
      </c>
      <c r="R493" t="s">
        <v>2730</v>
      </c>
      <c r="S493" t="s">
        <v>2732</v>
      </c>
      <c r="T493" t="s">
        <v>2774</v>
      </c>
      <c r="U493" t="s">
        <v>3274</v>
      </c>
      <c r="W493" t="s">
        <v>2613</v>
      </c>
      <c r="X493" t="s">
        <v>2729</v>
      </c>
    </row>
    <row r="494" spans="1:24">
      <c r="A494">
        <f>HYPERLINK("https://www.philgeps.gov.ph/GEPSNONPILOT/Tender/SplashBidNoticeAbstractUI.aspx?menuIndex=3&amp;refID=7064811&amp;Result=3","7064811")</f>
        <v>0</v>
      </c>
      <c r="B494" t="s">
        <v>166</v>
      </c>
      <c r="C494" t="s">
        <v>812</v>
      </c>
      <c r="D494" t="s">
        <v>1021</v>
      </c>
      <c r="E494" t="s">
        <v>1537</v>
      </c>
      <c r="F494" t="s">
        <v>1712</v>
      </c>
      <c r="G494" t="s">
        <v>1716</v>
      </c>
      <c r="H494" t="s">
        <v>1722</v>
      </c>
      <c r="I494" t="s">
        <v>1739</v>
      </c>
      <c r="J494" t="s">
        <v>2220</v>
      </c>
      <c r="K494" t="s">
        <v>2366</v>
      </c>
      <c r="M494" t="s">
        <v>2557</v>
      </c>
      <c r="N494" t="s">
        <v>2727</v>
      </c>
      <c r="O494" t="s">
        <v>2728</v>
      </c>
      <c r="P494">
        <v>0</v>
      </c>
      <c r="Q494">
        <v>0</v>
      </c>
      <c r="R494" t="s">
        <v>2730</v>
      </c>
      <c r="S494" t="s">
        <v>2732</v>
      </c>
      <c r="T494" t="s">
        <v>2757</v>
      </c>
      <c r="U494" t="s">
        <v>3193</v>
      </c>
      <c r="V494" t="s">
        <v>3528</v>
      </c>
      <c r="W494" t="s">
        <v>2557</v>
      </c>
      <c r="X494" t="s">
        <v>2729</v>
      </c>
    </row>
    <row r="495" spans="1:24">
      <c r="A495">
        <f>HYPERLINK("https://www.philgeps.gov.ph/GEPSNONPILOT/Tender/SplashBidNoticeAbstractUI.aspx?menuIndex=3&amp;refID=7064806&amp;Result=3","7064806")</f>
        <v>0</v>
      </c>
      <c r="B495" t="s">
        <v>244</v>
      </c>
      <c r="C495" t="s">
        <v>813</v>
      </c>
      <c r="D495" t="s">
        <v>1004</v>
      </c>
      <c r="E495" t="s">
        <v>1538</v>
      </c>
      <c r="F495" t="s">
        <v>1712</v>
      </c>
      <c r="G495" t="s">
        <v>1716</v>
      </c>
      <c r="H495" t="s">
        <v>1722</v>
      </c>
      <c r="I495" t="s">
        <v>1727</v>
      </c>
      <c r="J495" t="s">
        <v>2221</v>
      </c>
      <c r="K495" t="s">
        <v>2371</v>
      </c>
      <c r="L495" t="s">
        <v>244</v>
      </c>
      <c r="M495" t="s">
        <v>2635</v>
      </c>
      <c r="N495" t="s">
        <v>2727</v>
      </c>
      <c r="O495" t="s">
        <v>2728</v>
      </c>
      <c r="P495">
        <v>0</v>
      </c>
      <c r="Q495">
        <v>0</v>
      </c>
      <c r="R495" t="s">
        <v>2730</v>
      </c>
      <c r="S495" t="s">
        <v>2732</v>
      </c>
      <c r="T495" t="s">
        <v>2735</v>
      </c>
      <c r="U495" t="s">
        <v>3306</v>
      </c>
      <c r="W495" t="s">
        <v>2635</v>
      </c>
      <c r="X495" t="s">
        <v>2729</v>
      </c>
    </row>
    <row r="496" spans="1:24">
      <c r="A496">
        <f>HYPERLINK("https://www.philgeps.gov.ph/GEPSNONPILOT/Tender/SplashBidNoticeAbstractUI.aspx?menuIndex=3&amp;refID=7064804&amp;Result=3","7064804")</f>
        <v>0</v>
      </c>
      <c r="B496" t="s">
        <v>245</v>
      </c>
      <c r="C496" t="s">
        <v>814</v>
      </c>
      <c r="D496" t="s">
        <v>1030</v>
      </c>
      <c r="E496" t="s">
        <v>1539</v>
      </c>
      <c r="F496" t="s">
        <v>1713</v>
      </c>
      <c r="G496" t="s">
        <v>1718</v>
      </c>
      <c r="H496" t="s">
        <v>1722</v>
      </c>
      <c r="I496" t="s">
        <v>1745</v>
      </c>
      <c r="J496" t="s">
        <v>2222</v>
      </c>
      <c r="K496" t="s">
        <v>2381</v>
      </c>
      <c r="M496" t="s">
        <v>2636</v>
      </c>
      <c r="N496" t="s">
        <v>2727</v>
      </c>
      <c r="O496" t="s">
        <v>2728</v>
      </c>
      <c r="P496">
        <v>0</v>
      </c>
      <c r="Q496">
        <v>0</v>
      </c>
      <c r="R496" t="s">
        <v>2730</v>
      </c>
      <c r="S496" t="s">
        <v>2732</v>
      </c>
      <c r="T496" t="s">
        <v>2841</v>
      </c>
      <c r="U496" t="s">
        <v>3307</v>
      </c>
      <c r="W496" t="s">
        <v>2636</v>
      </c>
      <c r="X496" t="s">
        <v>2729</v>
      </c>
    </row>
    <row r="497" spans="1:24">
      <c r="A497">
        <f>HYPERLINK("https://www.philgeps.gov.ph/GEPSNONPILOT/Tender/SplashBidNoticeAbstractUI.aspx?menuIndex=3&amp;refID=7064808&amp;Result=3","7064808")</f>
        <v>0</v>
      </c>
      <c r="B497" t="s">
        <v>211</v>
      </c>
      <c r="C497" t="s">
        <v>815</v>
      </c>
      <c r="D497" t="s">
        <v>995</v>
      </c>
      <c r="E497" t="s">
        <v>1540</v>
      </c>
      <c r="F497" t="s">
        <v>1712</v>
      </c>
      <c r="G497" t="s">
        <v>1717</v>
      </c>
      <c r="H497" t="s">
        <v>1722</v>
      </c>
      <c r="I497" t="s">
        <v>1747</v>
      </c>
      <c r="J497" t="s">
        <v>1827</v>
      </c>
      <c r="K497" t="s">
        <v>2367</v>
      </c>
      <c r="M497" t="s">
        <v>2602</v>
      </c>
      <c r="N497" t="s">
        <v>2727</v>
      </c>
      <c r="O497" t="s">
        <v>2728</v>
      </c>
      <c r="P497">
        <v>0</v>
      </c>
      <c r="Q497">
        <v>0</v>
      </c>
      <c r="R497" t="s">
        <v>2730</v>
      </c>
      <c r="S497" t="s">
        <v>2732</v>
      </c>
      <c r="T497" t="s">
        <v>2828</v>
      </c>
      <c r="U497" t="s">
        <v>3308</v>
      </c>
      <c r="W497" t="s">
        <v>2602</v>
      </c>
      <c r="X497" t="s">
        <v>2729</v>
      </c>
    </row>
    <row r="498" spans="1:24">
      <c r="A498">
        <f>HYPERLINK("https://www.philgeps.gov.ph/GEPSNONPILOT/Tender/SplashBidNoticeAbstractUI.aspx?menuIndex=3&amp;refID=7064799&amp;Result=3","7064799")</f>
        <v>0</v>
      </c>
      <c r="B498" t="s">
        <v>166</v>
      </c>
      <c r="C498" t="s">
        <v>816</v>
      </c>
      <c r="D498" t="s">
        <v>1021</v>
      </c>
      <c r="E498" t="s">
        <v>1541</v>
      </c>
      <c r="F498" t="s">
        <v>1712</v>
      </c>
      <c r="G498" t="s">
        <v>1716</v>
      </c>
      <c r="H498" t="s">
        <v>1722</v>
      </c>
      <c r="I498" t="s">
        <v>1737</v>
      </c>
      <c r="J498" t="s">
        <v>2223</v>
      </c>
      <c r="K498" t="s">
        <v>2366</v>
      </c>
      <c r="M498" t="s">
        <v>2557</v>
      </c>
      <c r="N498" t="s">
        <v>2727</v>
      </c>
      <c r="O498" t="s">
        <v>2728</v>
      </c>
      <c r="P498">
        <v>0</v>
      </c>
      <c r="Q498">
        <v>0</v>
      </c>
      <c r="R498" t="s">
        <v>2730</v>
      </c>
      <c r="S498" t="s">
        <v>2732</v>
      </c>
      <c r="T498" t="s">
        <v>2757</v>
      </c>
      <c r="U498" t="s">
        <v>3193</v>
      </c>
      <c r="V498" t="s">
        <v>3528</v>
      </c>
      <c r="W498" t="s">
        <v>2557</v>
      </c>
      <c r="X498" t="s">
        <v>2729</v>
      </c>
    </row>
    <row r="499" spans="1:24">
      <c r="A499">
        <f>HYPERLINK("https://www.philgeps.gov.ph/GEPSNONPILOT/Tender/SplashBidNoticeAbstractUI.aspx?menuIndex=3&amp;refID=7064802&amp;Result=3","7064802")</f>
        <v>0</v>
      </c>
      <c r="B499" t="s">
        <v>233</v>
      </c>
      <c r="C499" t="s">
        <v>817</v>
      </c>
      <c r="D499" t="s">
        <v>1007</v>
      </c>
      <c r="E499" t="s">
        <v>1542</v>
      </c>
      <c r="F499" t="s">
        <v>1712</v>
      </c>
      <c r="G499" t="s">
        <v>1717</v>
      </c>
      <c r="H499" t="s">
        <v>1722</v>
      </c>
      <c r="I499" t="s">
        <v>1790</v>
      </c>
      <c r="J499" t="s">
        <v>2224</v>
      </c>
      <c r="K499" t="s">
        <v>2359</v>
      </c>
      <c r="M499" t="s">
        <v>2624</v>
      </c>
      <c r="N499" t="s">
        <v>2727</v>
      </c>
      <c r="O499" t="s">
        <v>2728</v>
      </c>
      <c r="P499">
        <v>0</v>
      </c>
      <c r="Q499">
        <v>0</v>
      </c>
      <c r="R499" t="s">
        <v>2730</v>
      </c>
      <c r="S499" t="s">
        <v>2732</v>
      </c>
      <c r="T499" t="s">
        <v>2741</v>
      </c>
      <c r="U499" t="s">
        <v>3309</v>
      </c>
      <c r="W499" t="s">
        <v>2624</v>
      </c>
      <c r="X499" t="s">
        <v>2729</v>
      </c>
    </row>
    <row r="500" spans="1:24">
      <c r="A500">
        <f>HYPERLINK("https://www.philgeps.gov.ph/GEPSNONPILOT/Tender/SplashBidNoticeAbstractUI.aspx?menuIndex=3&amp;refID=7064800&amp;Result=3","7064800")</f>
        <v>0</v>
      </c>
      <c r="B500" t="s">
        <v>246</v>
      </c>
      <c r="C500" t="s">
        <v>818</v>
      </c>
      <c r="D500" t="s">
        <v>1030</v>
      </c>
      <c r="E500" t="s">
        <v>1543</v>
      </c>
      <c r="F500" t="s">
        <v>1712</v>
      </c>
      <c r="G500" t="s">
        <v>1717</v>
      </c>
      <c r="H500" t="s">
        <v>1723</v>
      </c>
      <c r="I500" t="s">
        <v>1727</v>
      </c>
      <c r="J500" t="s">
        <v>2107</v>
      </c>
      <c r="K500" t="s">
        <v>2371</v>
      </c>
      <c r="M500" t="s">
        <v>2637</v>
      </c>
      <c r="N500" t="s">
        <v>2727</v>
      </c>
      <c r="O500" t="s">
        <v>2728</v>
      </c>
      <c r="P500">
        <v>0</v>
      </c>
      <c r="Q500">
        <v>0</v>
      </c>
      <c r="R500" t="s">
        <v>2730</v>
      </c>
      <c r="S500" t="s">
        <v>2732</v>
      </c>
      <c r="T500" t="s">
        <v>2749</v>
      </c>
      <c r="U500" t="s">
        <v>3310</v>
      </c>
      <c r="W500" t="s">
        <v>2637</v>
      </c>
      <c r="X500" t="s">
        <v>2729</v>
      </c>
    </row>
    <row r="501" spans="1:24">
      <c r="A501">
        <f>HYPERLINK("https://www.philgeps.gov.ph/GEPSNONPILOT/Tender/SplashBidNoticeAbstractUI.aspx?menuIndex=3&amp;refID=7064813&amp;Result=3","7064813")</f>
        <v>0</v>
      </c>
      <c r="B501" t="s">
        <v>247</v>
      </c>
      <c r="C501" t="s">
        <v>819</v>
      </c>
      <c r="D501" t="s">
        <v>1033</v>
      </c>
      <c r="E501" t="s">
        <v>1544</v>
      </c>
      <c r="F501" t="s">
        <v>1712</v>
      </c>
      <c r="G501" t="s">
        <v>1716</v>
      </c>
      <c r="H501" t="s">
        <v>1722</v>
      </c>
      <c r="I501" t="s">
        <v>1791</v>
      </c>
      <c r="J501" t="s">
        <v>2225</v>
      </c>
      <c r="K501" t="s">
        <v>2407</v>
      </c>
      <c r="M501" t="s">
        <v>2638</v>
      </c>
      <c r="N501" t="s">
        <v>2727</v>
      </c>
      <c r="O501" t="s">
        <v>2728</v>
      </c>
      <c r="P501">
        <v>0</v>
      </c>
      <c r="Q501">
        <v>0</v>
      </c>
      <c r="R501" t="s">
        <v>2730</v>
      </c>
      <c r="S501" t="s">
        <v>2732</v>
      </c>
      <c r="T501" t="s">
        <v>2799</v>
      </c>
      <c r="U501" t="s">
        <v>3311</v>
      </c>
      <c r="W501" t="s">
        <v>2638</v>
      </c>
      <c r="X501" t="s">
        <v>2729</v>
      </c>
    </row>
    <row r="502" spans="1:24">
      <c r="A502">
        <f>HYPERLINK("https://www.philgeps.gov.ph/GEPSNONPILOT/Tender/SplashBidNoticeAbstractUI.aspx?menuIndex=3&amp;refID=7064788&amp;Result=3","7064788")</f>
        <v>0</v>
      </c>
      <c r="B502" t="s">
        <v>248</v>
      </c>
      <c r="C502" t="s">
        <v>820</v>
      </c>
      <c r="D502" t="s">
        <v>1022</v>
      </c>
      <c r="E502" t="s">
        <v>1545</v>
      </c>
      <c r="F502" t="s">
        <v>1712</v>
      </c>
      <c r="G502" t="s">
        <v>1719</v>
      </c>
      <c r="H502" t="s">
        <v>1722</v>
      </c>
      <c r="I502" t="s">
        <v>1773</v>
      </c>
      <c r="J502" t="s">
        <v>2226</v>
      </c>
      <c r="K502" t="s">
        <v>2408</v>
      </c>
      <c r="M502" t="s">
        <v>2639</v>
      </c>
      <c r="N502" t="s">
        <v>2727</v>
      </c>
      <c r="O502" t="s">
        <v>2728</v>
      </c>
      <c r="P502">
        <v>0</v>
      </c>
      <c r="Q502">
        <v>0</v>
      </c>
      <c r="R502" t="s">
        <v>2730</v>
      </c>
      <c r="S502" t="s">
        <v>2732</v>
      </c>
      <c r="T502" t="s">
        <v>2787</v>
      </c>
      <c r="U502" t="s">
        <v>3312</v>
      </c>
      <c r="W502" t="s">
        <v>2639</v>
      </c>
      <c r="X502" t="s">
        <v>2729</v>
      </c>
    </row>
    <row r="503" spans="1:24">
      <c r="A503">
        <f>HYPERLINK("https://www.philgeps.gov.ph/GEPSNONPILOT/Tender/SplashBidNoticeAbstractUI.aspx?menuIndex=3&amp;refID=7064829&amp;Result=3","7064829")</f>
        <v>0</v>
      </c>
      <c r="B503" t="s">
        <v>249</v>
      </c>
      <c r="C503" t="s">
        <v>821</v>
      </c>
      <c r="D503" t="s">
        <v>1006</v>
      </c>
      <c r="E503" t="s">
        <v>1546</v>
      </c>
      <c r="F503" t="s">
        <v>1712</v>
      </c>
      <c r="G503" t="s">
        <v>1717</v>
      </c>
      <c r="H503" t="s">
        <v>1722</v>
      </c>
      <c r="I503" t="s">
        <v>1730</v>
      </c>
      <c r="J503" t="s">
        <v>2227</v>
      </c>
      <c r="K503" t="s">
        <v>2367</v>
      </c>
      <c r="M503" t="s">
        <v>2640</v>
      </c>
      <c r="N503" t="s">
        <v>2727</v>
      </c>
      <c r="O503" t="s">
        <v>2728</v>
      </c>
      <c r="P503">
        <v>0</v>
      </c>
      <c r="Q503">
        <v>0</v>
      </c>
      <c r="R503" t="s">
        <v>2730</v>
      </c>
      <c r="S503" t="s">
        <v>2732</v>
      </c>
      <c r="T503" t="s">
        <v>2810</v>
      </c>
      <c r="U503" t="s">
        <v>3313</v>
      </c>
      <c r="W503" t="s">
        <v>2640</v>
      </c>
      <c r="X503" t="s">
        <v>2729</v>
      </c>
    </row>
    <row r="504" spans="1:24">
      <c r="A504">
        <f>HYPERLINK("https://www.philgeps.gov.ph/GEPSNONPILOT/Tender/SplashBidNoticeAbstractUI.aspx?menuIndex=3&amp;refID=7064822&amp;Result=3","7064822")</f>
        <v>0</v>
      </c>
      <c r="B504" t="s">
        <v>250</v>
      </c>
      <c r="C504" t="s">
        <v>822</v>
      </c>
      <c r="D504" t="s">
        <v>1014</v>
      </c>
      <c r="E504" t="s">
        <v>1547</v>
      </c>
      <c r="F504" t="s">
        <v>1712</v>
      </c>
      <c r="G504" t="s">
        <v>1717</v>
      </c>
      <c r="H504" t="s">
        <v>1722</v>
      </c>
      <c r="I504" t="s">
        <v>1745</v>
      </c>
      <c r="J504" t="s">
        <v>2228</v>
      </c>
      <c r="K504" t="s">
        <v>2370</v>
      </c>
      <c r="M504" t="s">
        <v>2641</v>
      </c>
      <c r="N504" t="s">
        <v>2727</v>
      </c>
      <c r="O504" t="s">
        <v>2728</v>
      </c>
      <c r="P504">
        <v>0</v>
      </c>
      <c r="Q504">
        <v>1</v>
      </c>
      <c r="R504" t="s">
        <v>2730</v>
      </c>
      <c r="S504" t="s">
        <v>2732</v>
      </c>
      <c r="T504" t="s">
        <v>2820</v>
      </c>
      <c r="U504" t="s">
        <v>3314</v>
      </c>
      <c r="W504" t="s">
        <v>3583</v>
      </c>
      <c r="X504" t="s">
        <v>2729</v>
      </c>
    </row>
    <row r="505" spans="1:24">
      <c r="A505">
        <f>HYPERLINK("https://www.philgeps.gov.ph/GEPSNONPILOT/Tender/SplashBidNoticeAbstractUI.aspx?menuIndex=3&amp;refID=7064814&amp;Result=3","7064814")</f>
        <v>0</v>
      </c>
      <c r="B505" t="s">
        <v>178</v>
      </c>
      <c r="C505" t="s">
        <v>823</v>
      </c>
      <c r="D505" t="s">
        <v>1004</v>
      </c>
      <c r="E505" t="s">
        <v>1548</v>
      </c>
      <c r="F505" t="s">
        <v>1712</v>
      </c>
      <c r="G505" t="s">
        <v>1716</v>
      </c>
      <c r="H505" t="s">
        <v>1722</v>
      </c>
      <c r="I505" t="s">
        <v>1734</v>
      </c>
      <c r="J505" t="s">
        <v>2229</v>
      </c>
      <c r="K505" t="s">
        <v>2358</v>
      </c>
      <c r="M505" t="s">
        <v>2569</v>
      </c>
      <c r="N505" t="s">
        <v>2727</v>
      </c>
      <c r="O505" t="s">
        <v>2728</v>
      </c>
      <c r="P505">
        <v>0</v>
      </c>
      <c r="Q505">
        <v>0</v>
      </c>
      <c r="R505" t="s">
        <v>2730</v>
      </c>
      <c r="S505" t="s">
        <v>2732</v>
      </c>
      <c r="T505" t="s">
        <v>2771</v>
      </c>
      <c r="U505" t="s">
        <v>3315</v>
      </c>
      <c r="W505" t="s">
        <v>2569</v>
      </c>
      <c r="X505" t="s">
        <v>2729</v>
      </c>
    </row>
    <row r="506" spans="1:24">
      <c r="A506">
        <f>HYPERLINK("https://www.philgeps.gov.ph/GEPSNONPILOT/Tender/SplashBidNoticeAbstractUI.aspx?menuIndex=3&amp;refID=7064821&amp;Result=3","7064821")</f>
        <v>0</v>
      </c>
      <c r="B506" t="s">
        <v>251</v>
      </c>
      <c r="C506" t="s">
        <v>824</v>
      </c>
      <c r="D506" t="s">
        <v>1008</v>
      </c>
      <c r="E506" t="s">
        <v>1549</v>
      </c>
      <c r="F506" t="s">
        <v>1712</v>
      </c>
      <c r="G506" t="s">
        <v>1717</v>
      </c>
      <c r="H506" t="s">
        <v>1722</v>
      </c>
      <c r="I506" t="s">
        <v>1742</v>
      </c>
      <c r="J506" t="s">
        <v>1867</v>
      </c>
      <c r="K506" t="s">
        <v>2371</v>
      </c>
      <c r="M506" t="s">
        <v>2642</v>
      </c>
      <c r="N506" t="s">
        <v>2727</v>
      </c>
      <c r="O506" t="s">
        <v>2728</v>
      </c>
      <c r="P506">
        <v>0</v>
      </c>
      <c r="Q506">
        <v>0</v>
      </c>
      <c r="R506" t="s">
        <v>2730</v>
      </c>
      <c r="S506" t="s">
        <v>2732</v>
      </c>
      <c r="T506" t="s">
        <v>2747</v>
      </c>
      <c r="U506" t="s">
        <v>3316</v>
      </c>
      <c r="W506" t="s">
        <v>2642</v>
      </c>
      <c r="X506" t="s">
        <v>2729</v>
      </c>
    </row>
    <row r="507" spans="1:24">
      <c r="A507">
        <f>HYPERLINK("https://www.philgeps.gov.ph/GEPSNONPILOT/Tender/SplashBidNoticeAbstractUI.aspx?menuIndex=3&amp;refID=7064827&amp;Result=3","7064827")</f>
        <v>0</v>
      </c>
      <c r="B507" t="s">
        <v>252</v>
      </c>
      <c r="C507" t="s">
        <v>825</v>
      </c>
      <c r="D507" t="s">
        <v>1014</v>
      </c>
      <c r="E507" t="s">
        <v>1550</v>
      </c>
      <c r="F507" t="s">
        <v>1712</v>
      </c>
      <c r="G507" t="s">
        <v>1718</v>
      </c>
      <c r="H507" t="s">
        <v>1722</v>
      </c>
      <c r="I507" t="s">
        <v>1792</v>
      </c>
      <c r="J507" t="s">
        <v>2020</v>
      </c>
      <c r="K507" t="s">
        <v>2367</v>
      </c>
      <c r="M507" t="s">
        <v>2643</v>
      </c>
      <c r="N507" t="s">
        <v>2727</v>
      </c>
      <c r="O507" t="s">
        <v>2728</v>
      </c>
      <c r="P507">
        <v>0</v>
      </c>
      <c r="Q507">
        <v>0</v>
      </c>
      <c r="R507" t="s">
        <v>2730</v>
      </c>
      <c r="S507" t="s">
        <v>2732</v>
      </c>
      <c r="T507" t="s">
        <v>2811</v>
      </c>
      <c r="U507" t="s">
        <v>3317</v>
      </c>
      <c r="V507" t="s">
        <v>3549</v>
      </c>
      <c r="W507" t="s">
        <v>2643</v>
      </c>
      <c r="X507" t="s">
        <v>2729</v>
      </c>
    </row>
    <row r="508" spans="1:24">
      <c r="A508">
        <f>HYPERLINK("https://www.philgeps.gov.ph/GEPSNONPILOT/Tender/SplashBidNoticeAbstractUI.aspx?menuIndex=3&amp;refID=7064828&amp;Result=3","7064828")</f>
        <v>0</v>
      </c>
      <c r="B508" t="s">
        <v>253</v>
      </c>
      <c r="C508" t="s">
        <v>826</v>
      </c>
      <c r="D508" t="s">
        <v>1050</v>
      </c>
      <c r="E508" t="s">
        <v>1551</v>
      </c>
      <c r="F508" t="s">
        <v>1712</v>
      </c>
      <c r="G508" t="s">
        <v>1717</v>
      </c>
      <c r="H508" t="s">
        <v>1722</v>
      </c>
      <c r="I508" t="s">
        <v>1728</v>
      </c>
      <c r="J508" t="s">
        <v>2230</v>
      </c>
      <c r="K508" t="s">
        <v>2370</v>
      </c>
      <c r="M508" t="s">
        <v>2644</v>
      </c>
      <c r="N508" t="s">
        <v>2727</v>
      </c>
      <c r="O508" t="s">
        <v>2728</v>
      </c>
      <c r="P508">
        <v>0</v>
      </c>
      <c r="Q508">
        <v>0</v>
      </c>
      <c r="R508" t="s">
        <v>2730</v>
      </c>
      <c r="S508" t="s">
        <v>2732</v>
      </c>
      <c r="T508" t="s">
        <v>2746</v>
      </c>
      <c r="U508" t="s">
        <v>3318</v>
      </c>
      <c r="V508" t="s">
        <v>3550</v>
      </c>
      <c r="W508" t="s">
        <v>2644</v>
      </c>
      <c r="X508" t="s">
        <v>2729</v>
      </c>
    </row>
    <row r="509" spans="1:24">
      <c r="A509">
        <f>HYPERLINK("https://www.philgeps.gov.ph/GEPSNONPILOT/Tender/SplashBidNoticeAbstractUI.aspx?menuIndex=3&amp;refID=7064819&amp;Result=3","7064819")</f>
        <v>0</v>
      </c>
      <c r="B509" t="s">
        <v>254</v>
      </c>
      <c r="C509" t="s">
        <v>827</v>
      </c>
      <c r="D509" t="s">
        <v>998</v>
      </c>
      <c r="E509" t="s">
        <v>1552</v>
      </c>
      <c r="F509" t="s">
        <v>1712</v>
      </c>
      <c r="G509" t="s">
        <v>1721</v>
      </c>
      <c r="H509" t="s">
        <v>1722</v>
      </c>
      <c r="I509" t="s">
        <v>1728</v>
      </c>
      <c r="J509" t="s">
        <v>2231</v>
      </c>
      <c r="K509" t="s">
        <v>2367</v>
      </c>
      <c r="M509" t="s">
        <v>2645</v>
      </c>
      <c r="N509" t="s">
        <v>2727</v>
      </c>
      <c r="O509" t="s">
        <v>2728</v>
      </c>
      <c r="P509">
        <v>0</v>
      </c>
      <c r="Q509">
        <v>0</v>
      </c>
      <c r="R509" t="s">
        <v>2730</v>
      </c>
      <c r="S509" t="s">
        <v>2732</v>
      </c>
      <c r="T509" t="s">
        <v>2748</v>
      </c>
      <c r="U509" t="s">
        <v>3319</v>
      </c>
      <c r="W509" t="s">
        <v>2645</v>
      </c>
      <c r="X509" t="s">
        <v>2729</v>
      </c>
    </row>
    <row r="510" spans="1:24">
      <c r="A510">
        <f>HYPERLINK("https://www.philgeps.gov.ph/GEPSNONPILOT/Tender/SplashBidNoticeAbstractUI.aspx?menuIndex=3&amp;refID=7064818&amp;Result=3","7064818")</f>
        <v>0</v>
      </c>
      <c r="B510" t="s">
        <v>233</v>
      </c>
      <c r="C510" t="s">
        <v>828</v>
      </c>
      <c r="D510" t="s">
        <v>1007</v>
      </c>
      <c r="E510" t="s">
        <v>1553</v>
      </c>
      <c r="F510" t="s">
        <v>1712</v>
      </c>
      <c r="G510" t="s">
        <v>1717</v>
      </c>
      <c r="H510" t="s">
        <v>1722</v>
      </c>
      <c r="I510" t="s">
        <v>1790</v>
      </c>
      <c r="J510" t="s">
        <v>1832</v>
      </c>
      <c r="K510" t="s">
        <v>2359</v>
      </c>
      <c r="M510" t="s">
        <v>2624</v>
      </c>
      <c r="N510" t="s">
        <v>2727</v>
      </c>
      <c r="O510" t="s">
        <v>2728</v>
      </c>
      <c r="P510">
        <v>0</v>
      </c>
      <c r="Q510">
        <v>0</v>
      </c>
      <c r="R510" t="s">
        <v>2730</v>
      </c>
      <c r="S510" t="s">
        <v>2732</v>
      </c>
      <c r="T510" t="s">
        <v>2741</v>
      </c>
      <c r="U510" t="s">
        <v>3320</v>
      </c>
      <c r="W510" t="s">
        <v>2624</v>
      </c>
      <c r="X510" t="s">
        <v>2729</v>
      </c>
    </row>
    <row r="511" spans="1:24">
      <c r="A511">
        <f>HYPERLINK("https://www.philgeps.gov.ph/GEPSNONPILOT/Tender/SplashBidNoticeAbstractUI.aspx?menuIndex=3&amp;refID=7064820&amp;Result=3","7064820")</f>
        <v>0</v>
      </c>
      <c r="B511" t="s">
        <v>255</v>
      </c>
      <c r="C511" t="s">
        <v>829</v>
      </c>
      <c r="E511" t="s">
        <v>1554</v>
      </c>
      <c r="F511" t="s">
        <v>1712</v>
      </c>
      <c r="G511" t="s">
        <v>1717</v>
      </c>
      <c r="H511" t="s">
        <v>1722</v>
      </c>
      <c r="I511" t="s">
        <v>1773</v>
      </c>
      <c r="J511" t="s">
        <v>2232</v>
      </c>
      <c r="K511" t="s">
        <v>2367</v>
      </c>
      <c r="M511" t="s">
        <v>2646</v>
      </c>
      <c r="N511" t="s">
        <v>2727</v>
      </c>
      <c r="O511" t="s">
        <v>2728</v>
      </c>
      <c r="P511">
        <v>0</v>
      </c>
      <c r="Q511">
        <v>0</v>
      </c>
      <c r="R511" t="s">
        <v>2730</v>
      </c>
      <c r="S511" t="s">
        <v>2732</v>
      </c>
      <c r="T511" t="s">
        <v>2776</v>
      </c>
      <c r="U511" t="s">
        <v>3321</v>
      </c>
      <c r="W511" t="s">
        <v>2646</v>
      </c>
      <c r="X511" t="s">
        <v>2729</v>
      </c>
    </row>
    <row r="512" spans="1:24">
      <c r="A512">
        <f>HYPERLINK("https://www.philgeps.gov.ph/GEPSNONPILOT/Tender/SplashBidNoticeAbstractUI.aspx?menuIndex=3&amp;refID=7064825&amp;Result=3","7064825")</f>
        <v>0</v>
      </c>
      <c r="B512" t="s">
        <v>220</v>
      </c>
      <c r="C512" t="s">
        <v>830</v>
      </c>
      <c r="D512" t="s">
        <v>1029</v>
      </c>
      <c r="E512" t="s">
        <v>1555</v>
      </c>
      <c r="F512" t="s">
        <v>1712</v>
      </c>
      <c r="G512" t="s">
        <v>1718</v>
      </c>
      <c r="H512" t="s">
        <v>1722</v>
      </c>
      <c r="I512" t="s">
        <v>1732</v>
      </c>
      <c r="J512" t="s">
        <v>2233</v>
      </c>
      <c r="K512" t="s">
        <v>2359</v>
      </c>
      <c r="M512" t="s">
        <v>2611</v>
      </c>
      <c r="N512" t="s">
        <v>2727</v>
      </c>
      <c r="O512" t="s">
        <v>2728</v>
      </c>
      <c r="P512">
        <v>0</v>
      </c>
      <c r="Q512">
        <v>0</v>
      </c>
      <c r="R512" t="s">
        <v>2730</v>
      </c>
      <c r="S512" t="s">
        <v>2732</v>
      </c>
      <c r="T512" t="s">
        <v>2787</v>
      </c>
      <c r="U512" t="s">
        <v>3268</v>
      </c>
      <c r="W512" t="s">
        <v>2611</v>
      </c>
      <c r="X512" t="s">
        <v>2729</v>
      </c>
    </row>
    <row r="513" spans="1:24">
      <c r="A513">
        <f>HYPERLINK("https://www.philgeps.gov.ph/GEPSNONPILOT/Tender/SplashBidNoticeAbstractUI.aspx?menuIndex=3&amp;refID=7064837&amp;Result=3","7064837")</f>
        <v>0</v>
      </c>
      <c r="B513" t="s">
        <v>233</v>
      </c>
      <c r="C513" t="s">
        <v>831</v>
      </c>
      <c r="D513" t="s">
        <v>1007</v>
      </c>
      <c r="E513" t="s">
        <v>1556</v>
      </c>
      <c r="F513" t="s">
        <v>1712</v>
      </c>
      <c r="G513" t="s">
        <v>1717</v>
      </c>
      <c r="H513" t="s">
        <v>1722</v>
      </c>
      <c r="I513" t="s">
        <v>1768</v>
      </c>
      <c r="J513" t="s">
        <v>2234</v>
      </c>
      <c r="K513" t="s">
        <v>2359</v>
      </c>
      <c r="M513" t="s">
        <v>2624</v>
      </c>
      <c r="N513" t="s">
        <v>2727</v>
      </c>
      <c r="O513" t="s">
        <v>2728</v>
      </c>
      <c r="P513">
        <v>0</v>
      </c>
      <c r="Q513">
        <v>0</v>
      </c>
      <c r="R513" t="s">
        <v>2730</v>
      </c>
      <c r="S513" t="s">
        <v>2732</v>
      </c>
      <c r="T513" t="s">
        <v>2741</v>
      </c>
      <c r="U513" t="s">
        <v>3322</v>
      </c>
      <c r="W513" t="s">
        <v>2624</v>
      </c>
      <c r="X513" t="s">
        <v>2729</v>
      </c>
    </row>
    <row r="514" spans="1:24">
      <c r="A514">
        <f>HYPERLINK("https://www.philgeps.gov.ph/GEPSNONPILOT/Tender/SplashBidNoticeAbstractUI.aspx?menuIndex=3&amp;refID=7064815&amp;Result=3","7064815")</f>
        <v>0</v>
      </c>
      <c r="B514" t="s">
        <v>256</v>
      </c>
      <c r="C514" t="s">
        <v>832</v>
      </c>
      <c r="D514" t="s">
        <v>1052</v>
      </c>
      <c r="E514" t="s">
        <v>1557</v>
      </c>
      <c r="F514" t="s">
        <v>1712</v>
      </c>
      <c r="G514" t="s">
        <v>1717</v>
      </c>
      <c r="H514" t="s">
        <v>1722</v>
      </c>
      <c r="I514" t="s">
        <v>1760</v>
      </c>
      <c r="J514" t="s">
        <v>2235</v>
      </c>
      <c r="K514" t="s">
        <v>2358</v>
      </c>
      <c r="M514" t="s">
        <v>2647</v>
      </c>
      <c r="N514" t="s">
        <v>2727</v>
      </c>
      <c r="O514" t="s">
        <v>2728</v>
      </c>
      <c r="P514">
        <v>0</v>
      </c>
      <c r="Q514">
        <v>0</v>
      </c>
      <c r="R514" t="s">
        <v>2730</v>
      </c>
      <c r="S514" t="s">
        <v>2732</v>
      </c>
      <c r="T514" t="s">
        <v>2842</v>
      </c>
      <c r="U514" t="s">
        <v>3323</v>
      </c>
      <c r="W514" t="s">
        <v>2647</v>
      </c>
      <c r="X514" t="s">
        <v>2729</v>
      </c>
    </row>
    <row r="515" spans="1:24">
      <c r="A515">
        <f>HYPERLINK("https://www.philgeps.gov.ph/GEPSNONPILOT/Tender/SplashBidNoticeAbstractUI.aspx?menuIndex=3&amp;refID=7064834&amp;Result=3","7064834")</f>
        <v>0</v>
      </c>
      <c r="B515" t="s">
        <v>206</v>
      </c>
      <c r="C515" t="s">
        <v>833</v>
      </c>
      <c r="E515" t="s">
        <v>1558</v>
      </c>
      <c r="F515" t="s">
        <v>1712</v>
      </c>
      <c r="G515" t="s">
        <v>1717</v>
      </c>
      <c r="H515" t="s">
        <v>1722</v>
      </c>
      <c r="I515" t="s">
        <v>1732</v>
      </c>
      <c r="J515" t="s">
        <v>2085</v>
      </c>
      <c r="K515" t="s">
        <v>2358</v>
      </c>
      <c r="M515" t="s">
        <v>2597</v>
      </c>
      <c r="N515" t="s">
        <v>2727</v>
      </c>
      <c r="O515" t="s">
        <v>2728</v>
      </c>
      <c r="P515">
        <v>0</v>
      </c>
      <c r="Q515">
        <v>0</v>
      </c>
      <c r="R515" t="s">
        <v>2730</v>
      </c>
      <c r="S515" t="s">
        <v>2732</v>
      </c>
      <c r="T515" t="s">
        <v>2741</v>
      </c>
      <c r="U515" t="s">
        <v>3324</v>
      </c>
      <c r="W515" t="s">
        <v>2597</v>
      </c>
      <c r="X515" t="s">
        <v>2729</v>
      </c>
    </row>
    <row r="516" spans="1:24">
      <c r="A516">
        <f>HYPERLINK("https://www.philgeps.gov.ph/GEPSNONPILOT/Tender/SplashBidNoticeAbstractUI.aspx?menuIndex=3&amp;refID=7064831&amp;Result=3","7064831")</f>
        <v>0</v>
      </c>
      <c r="B516" t="s">
        <v>257</v>
      </c>
      <c r="C516" t="s">
        <v>834</v>
      </c>
      <c r="D516" t="s">
        <v>1030</v>
      </c>
      <c r="E516" t="s">
        <v>1539</v>
      </c>
      <c r="F516" t="s">
        <v>1713</v>
      </c>
      <c r="G516" t="s">
        <v>1718</v>
      </c>
      <c r="H516" t="s">
        <v>1722</v>
      </c>
      <c r="I516" t="s">
        <v>1745</v>
      </c>
      <c r="J516" t="s">
        <v>2222</v>
      </c>
      <c r="K516" t="s">
        <v>2381</v>
      </c>
      <c r="M516" t="s">
        <v>2648</v>
      </c>
      <c r="N516" t="s">
        <v>2727</v>
      </c>
      <c r="O516" t="s">
        <v>2728</v>
      </c>
      <c r="P516">
        <v>0</v>
      </c>
      <c r="Q516">
        <v>0</v>
      </c>
      <c r="R516" t="s">
        <v>2730</v>
      </c>
      <c r="S516" t="s">
        <v>2732</v>
      </c>
      <c r="T516" t="s">
        <v>2841</v>
      </c>
      <c r="U516" t="s">
        <v>3307</v>
      </c>
      <c r="W516" t="s">
        <v>2648</v>
      </c>
      <c r="X516" t="s">
        <v>2729</v>
      </c>
    </row>
    <row r="517" spans="1:24">
      <c r="A517">
        <f>HYPERLINK("https://www.philgeps.gov.ph/GEPSNONPILOT/Tender/SplashBidNoticeAbstractUI.aspx?menuIndex=3&amp;refID=7064836&amp;Result=3","7064836")</f>
        <v>0</v>
      </c>
      <c r="B517" t="s">
        <v>258</v>
      </c>
      <c r="C517" t="s">
        <v>835</v>
      </c>
      <c r="D517" t="s">
        <v>1001</v>
      </c>
      <c r="E517" t="s">
        <v>1559</v>
      </c>
      <c r="F517" t="s">
        <v>1712</v>
      </c>
      <c r="G517" t="s">
        <v>1717</v>
      </c>
      <c r="H517" t="s">
        <v>1722</v>
      </c>
      <c r="I517" t="s">
        <v>1749</v>
      </c>
      <c r="J517" t="s">
        <v>2236</v>
      </c>
      <c r="K517" t="s">
        <v>2367</v>
      </c>
      <c r="M517" t="s">
        <v>2649</v>
      </c>
      <c r="N517" t="s">
        <v>2727</v>
      </c>
      <c r="O517" t="s">
        <v>2728</v>
      </c>
      <c r="P517">
        <v>0</v>
      </c>
      <c r="Q517">
        <v>0</v>
      </c>
      <c r="R517" t="s">
        <v>2730</v>
      </c>
      <c r="S517" t="s">
        <v>2732</v>
      </c>
      <c r="T517" t="s">
        <v>2831</v>
      </c>
      <c r="U517" t="s">
        <v>3325</v>
      </c>
      <c r="W517" t="s">
        <v>3584</v>
      </c>
      <c r="X517" t="s">
        <v>2729</v>
      </c>
    </row>
    <row r="518" spans="1:24">
      <c r="A518">
        <f>HYPERLINK("https://www.philgeps.gov.ph/GEPSNONPILOT/Tender/SplashBidNoticeAbstractUI.aspx?menuIndex=3&amp;refID=7064835&amp;Result=3","7064835")</f>
        <v>0</v>
      </c>
      <c r="B518" t="s">
        <v>231</v>
      </c>
      <c r="C518" t="s">
        <v>836</v>
      </c>
      <c r="D518" t="s">
        <v>993</v>
      </c>
      <c r="E518" t="s">
        <v>1560</v>
      </c>
      <c r="F518" t="s">
        <v>1712</v>
      </c>
      <c r="G518" t="s">
        <v>1721</v>
      </c>
      <c r="H518" t="s">
        <v>1722</v>
      </c>
      <c r="I518" t="s">
        <v>1781</v>
      </c>
      <c r="J518" t="s">
        <v>2237</v>
      </c>
      <c r="K518" t="s">
        <v>2365</v>
      </c>
      <c r="M518" t="s">
        <v>2650</v>
      </c>
      <c r="N518" t="s">
        <v>2727</v>
      </c>
      <c r="O518" t="s">
        <v>2728</v>
      </c>
      <c r="P518">
        <v>0</v>
      </c>
      <c r="Q518">
        <v>0</v>
      </c>
      <c r="R518" t="s">
        <v>2730</v>
      </c>
      <c r="S518" t="s">
        <v>2732</v>
      </c>
      <c r="T518" t="s">
        <v>2825</v>
      </c>
      <c r="U518" t="s">
        <v>3326</v>
      </c>
      <c r="V518" t="s">
        <v>3551</v>
      </c>
      <c r="W518" t="s">
        <v>2650</v>
      </c>
      <c r="X518" t="s">
        <v>2729</v>
      </c>
    </row>
    <row r="519" spans="1:24">
      <c r="A519">
        <f>HYPERLINK("https://www.philgeps.gov.ph/GEPSNONPILOT/Tender/SplashBidNoticeAbstractUI.aspx?menuIndex=3&amp;refID=7064830&amp;Result=3","7064830")</f>
        <v>0</v>
      </c>
      <c r="B519" t="s">
        <v>166</v>
      </c>
      <c r="C519" t="s">
        <v>837</v>
      </c>
      <c r="D519" t="s">
        <v>1021</v>
      </c>
      <c r="E519" t="s">
        <v>1561</v>
      </c>
      <c r="F519" t="s">
        <v>1712</v>
      </c>
      <c r="G519" t="s">
        <v>1716</v>
      </c>
      <c r="H519" t="s">
        <v>1722</v>
      </c>
      <c r="I519" t="s">
        <v>1730</v>
      </c>
      <c r="J519" t="s">
        <v>2238</v>
      </c>
      <c r="K519" t="s">
        <v>2366</v>
      </c>
      <c r="M519" t="s">
        <v>2557</v>
      </c>
      <c r="N519" t="s">
        <v>2727</v>
      </c>
      <c r="O519" t="s">
        <v>2728</v>
      </c>
      <c r="P519">
        <v>0</v>
      </c>
      <c r="Q519">
        <v>0</v>
      </c>
      <c r="R519" t="s">
        <v>2730</v>
      </c>
      <c r="S519" t="s">
        <v>2732</v>
      </c>
      <c r="T519" t="s">
        <v>2757</v>
      </c>
      <c r="U519" t="s">
        <v>3327</v>
      </c>
      <c r="V519" t="s">
        <v>3528</v>
      </c>
      <c r="W519" t="s">
        <v>2557</v>
      </c>
      <c r="X519" t="s">
        <v>2729</v>
      </c>
    </row>
    <row r="520" spans="1:24">
      <c r="A520">
        <f>HYPERLINK("https://www.philgeps.gov.ph/GEPSNONPILOT/Tender/SplashBidNoticeAbstractUI.aspx?menuIndex=3&amp;refID=7064832&amp;Result=3","7064832")</f>
        <v>0</v>
      </c>
      <c r="B520" t="s">
        <v>259</v>
      </c>
      <c r="C520" t="s">
        <v>838</v>
      </c>
      <c r="D520" t="s">
        <v>1046</v>
      </c>
      <c r="E520" t="s">
        <v>1562</v>
      </c>
      <c r="F520" t="s">
        <v>1713</v>
      </c>
      <c r="G520" t="s">
        <v>1716</v>
      </c>
      <c r="H520" t="s">
        <v>1722</v>
      </c>
      <c r="I520" t="s">
        <v>1756</v>
      </c>
      <c r="J520" t="s">
        <v>2239</v>
      </c>
      <c r="K520" t="s">
        <v>2366</v>
      </c>
      <c r="M520" t="s">
        <v>2651</v>
      </c>
      <c r="N520" t="s">
        <v>2727</v>
      </c>
      <c r="O520" t="s">
        <v>2728</v>
      </c>
      <c r="P520">
        <v>0</v>
      </c>
      <c r="Q520">
        <v>0</v>
      </c>
      <c r="R520" t="s">
        <v>2730</v>
      </c>
      <c r="S520" t="s">
        <v>2732</v>
      </c>
      <c r="T520" t="s">
        <v>2802</v>
      </c>
      <c r="U520" t="s">
        <v>3328</v>
      </c>
      <c r="V520" t="s">
        <v>3552</v>
      </c>
      <c r="W520" t="s">
        <v>2651</v>
      </c>
      <c r="X520" t="s">
        <v>2729</v>
      </c>
    </row>
    <row r="521" spans="1:24">
      <c r="A521">
        <f>HYPERLINK("https://www.philgeps.gov.ph/GEPSNONPILOT/Tender/SplashBidNoticeAbstractUI.aspx?menuIndex=3&amp;refID=7064833&amp;Result=3","7064833")</f>
        <v>0</v>
      </c>
      <c r="B521" t="s">
        <v>181</v>
      </c>
      <c r="C521" t="s">
        <v>839</v>
      </c>
      <c r="D521" t="s">
        <v>1025</v>
      </c>
      <c r="E521" t="s">
        <v>1563</v>
      </c>
      <c r="F521" t="s">
        <v>1712</v>
      </c>
      <c r="G521" t="s">
        <v>1717</v>
      </c>
      <c r="H521" t="s">
        <v>1722</v>
      </c>
      <c r="I521" t="s">
        <v>1739</v>
      </c>
      <c r="J521" t="s">
        <v>2020</v>
      </c>
      <c r="K521" t="s">
        <v>2371</v>
      </c>
      <c r="M521" t="s">
        <v>2572</v>
      </c>
      <c r="N521" t="s">
        <v>2727</v>
      </c>
      <c r="O521" t="s">
        <v>2728</v>
      </c>
      <c r="P521">
        <v>0</v>
      </c>
      <c r="Q521">
        <v>0</v>
      </c>
      <c r="R521" t="s">
        <v>2730</v>
      </c>
      <c r="S521" t="s">
        <v>2732</v>
      </c>
      <c r="T521" t="s">
        <v>2749</v>
      </c>
      <c r="U521" t="s">
        <v>3329</v>
      </c>
      <c r="W521" t="s">
        <v>2572</v>
      </c>
      <c r="X521" t="s">
        <v>2729</v>
      </c>
    </row>
    <row r="522" spans="1:24">
      <c r="A522">
        <f>HYPERLINK("https://www.philgeps.gov.ph/GEPSNONPILOT/Tender/SplashBidNoticeAbstractUI.aspx?menuIndex=3&amp;refID=7064838&amp;Result=3","7064838")</f>
        <v>0</v>
      </c>
      <c r="B522" t="s">
        <v>232</v>
      </c>
      <c r="C522" t="s">
        <v>840</v>
      </c>
      <c r="D522" t="s">
        <v>1048</v>
      </c>
      <c r="E522" t="s">
        <v>1564</v>
      </c>
      <c r="F522" t="s">
        <v>1712</v>
      </c>
      <c r="G522" t="s">
        <v>1719</v>
      </c>
      <c r="H522" t="s">
        <v>1722</v>
      </c>
      <c r="I522" t="s">
        <v>1773</v>
      </c>
      <c r="J522" t="s">
        <v>2240</v>
      </c>
      <c r="K522" t="s">
        <v>2366</v>
      </c>
      <c r="M522" t="s">
        <v>2623</v>
      </c>
      <c r="N522" t="s">
        <v>2727</v>
      </c>
      <c r="O522" t="s">
        <v>2728</v>
      </c>
      <c r="P522">
        <v>0</v>
      </c>
      <c r="Q522">
        <v>0</v>
      </c>
      <c r="R522" t="s">
        <v>2730</v>
      </c>
      <c r="S522" t="s">
        <v>2732</v>
      </c>
      <c r="T522" t="s">
        <v>2787</v>
      </c>
      <c r="U522" t="s">
        <v>3330</v>
      </c>
      <c r="W522" t="s">
        <v>2623</v>
      </c>
      <c r="X522" t="s">
        <v>2729</v>
      </c>
    </row>
    <row r="523" spans="1:24">
      <c r="A523">
        <f>HYPERLINK("https://www.philgeps.gov.ph/GEPSNONPILOT/Tender/SplashBidNoticeAbstractUI.aspx?menuIndex=3&amp;refID=7064845&amp;Result=3","7064845")</f>
        <v>0</v>
      </c>
      <c r="B523" t="s">
        <v>166</v>
      </c>
      <c r="C523" t="s">
        <v>841</v>
      </c>
      <c r="D523" t="s">
        <v>1021</v>
      </c>
      <c r="E523" t="s">
        <v>1565</v>
      </c>
      <c r="F523" t="s">
        <v>1712</v>
      </c>
      <c r="G523" t="s">
        <v>1716</v>
      </c>
      <c r="H523" t="s">
        <v>1722</v>
      </c>
      <c r="I523" t="s">
        <v>1730</v>
      </c>
      <c r="J523" t="s">
        <v>2241</v>
      </c>
      <c r="K523" t="s">
        <v>2366</v>
      </c>
      <c r="M523" t="s">
        <v>2557</v>
      </c>
      <c r="N523" t="s">
        <v>2727</v>
      </c>
      <c r="O523" t="s">
        <v>2728</v>
      </c>
      <c r="P523">
        <v>0</v>
      </c>
      <c r="Q523">
        <v>0</v>
      </c>
      <c r="R523" t="s">
        <v>2730</v>
      </c>
      <c r="S523" t="s">
        <v>2732</v>
      </c>
      <c r="T523" t="s">
        <v>2757</v>
      </c>
      <c r="U523" t="s">
        <v>3327</v>
      </c>
      <c r="V523" t="s">
        <v>3528</v>
      </c>
      <c r="W523" t="s">
        <v>2557</v>
      </c>
      <c r="X523" t="s">
        <v>2729</v>
      </c>
    </row>
    <row r="524" spans="1:24">
      <c r="A524">
        <f>HYPERLINK("https://www.philgeps.gov.ph/GEPSNONPILOT/Tender/SplashBidNoticeAbstractUI.aspx?menuIndex=3&amp;refID=7064843&amp;Result=3","7064843")</f>
        <v>0</v>
      </c>
      <c r="B524" t="s">
        <v>212</v>
      </c>
      <c r="C524" t="s">
        <v>842</v>
      </c>
      <c r="D524" t="s">
        <v>1047</v>
      </c>
      <c r="E524" t="s">
        <v>1566</v>
      </c>
      <c r="F524" t="s">
        <v>1712</v>
      </c>
      <c r="G524" t="s">
        <v>1717</v>
      </c>
      <c r="H524" t="s">
        <v>1722</v>
      </c>
      <c r="I524" t="s">
        <v>1737</v>
      </c>
      <c r="J524" t="s">
        <v>2242</v>
      </c>
      <c r="K524" t="s">
        <v>2405</v>
      </c>
      <c r="M524" t="s">
        <v>2603</v>
      </c>
      <c r="N524" t="s">
        <v>2727</v>
      </c>
      <c r="O524" t="s">
        <v>2728</v>
      </c>
      <c r="P524">
        <v>0</v>
      </c>
      <c r="Q524">
        <v>0</v>
      </c>
      <c r="R524" t="s">
        <v>2730</v>
      </c>
      <c r="S524" t="s">
        <v>2732</v>
      </c>
      <c r="T524" t="s">
        <v>2830</v>
      </c>
      <c r="U524" t="s">
        <v>3331</v>
      </c>
      <c r="V524" t="s">
        <v>3542</v>
      </c>
      <c r="W524" t="s">
        <v>3582</v>
      </c>
      <c r="X524" t="s">
        <v>2729</v>
      </c>
    </row>
    <row r="525" spans="1:24">
      <c r="A525">
        <f>HYPERLINK("https://www.philgeps.gov.ph/GEPSNONPILOT/Tender/SplashBidNoticeAbstractUI.aspx?menuIndex=3&amp;refID=7064842&amp;Result=3","7064842")</f>
        <v>0</v>
      </c>
      <c r="B525" t="s">
        <v>260</v>
      </c>
      <c r="C525" t="s">
        <v>843</v>
      </c>
      <c r="D525" t="s">
        <v>1057</v>
      </c>
      <c r="E525" t="s">
        <v>1567</v>
      </c>
      <c r="F525" t="s">
        <v>1712</v>
      </c>
      <c r="G525" t="s">
        <v>1717</v>
      </c>
      <c r="H525" t="s">
        <v>1724</v>
      </c>
      <c r="I525" t="s">
        <v>1724</v>
      </c>
      <c r="J525" t="s">
        <v>1857</v>
      </c>
      <c r="K525" t="s">
        <v>2369</v>
      </c>
      <c r="M525" t="s">
        <v>2652</v>
      </c>
      <c r="N525" t="s">
        <v>2727</v>
      </c>
      <c r="O525" t="s">
        <v>2728</v>
      </c>
      <c r="P525">
        <v>0</v>
      </c>
      <c r="Q525">
        <v>0</v>
      </c>
      <c r="R525" t="s">
        <v>2730</v>
      </c>
      <c r="S525" t="s">
        <v>2732</v>
      </c>
      <c r="T525" t="s">
        <v>2787</v>
      </c>
      <c r="U525" t="s">
        <v>3332</v>
      </c>
      <c r="W525" t="s">
        <v>2652</v>
      </c>
      <c r="X525" t="s">
        <v>2729</v>
      </c>
    </row>
    <row r="526" spans="1:24">
      <c r="A526">
        <f>HYPERLINK("https://www.philgeps.gov.ph/GEPSNONPILOT/Tender/SplashBidNoticeAbstractUI.aspx?menuIndex=3&amp;refID=7064849&amp;Result=3","7064849")</f>
        <v>0</v>
      </c>
      <c r="B526" t="s">
        <v>206</v>
      </c>
      <c r="C526" t="s">
        <v>844</v>
      </c>
      <c r="E526" t="s">
        <v>1568</v>
      </c>
      <c r="F526" t="s">
        <v>1712</v>
      </c>
      <c r="G526" t="s">
        <v>1717</v>
      </c>
      <c r="H526" t="s">
        <v>1722</v>
      </c>
      <c r="I526" t="s">
        <v>1768</v>
      </c>
      <c r="J526" t="s">
        <v>1818</v>
      </c>
      <c r="K526" t="s">
        <v>2371</v>
      </c>
      <c r="M526" t="s">
        <v>2597</v>
      </c>
      <c r="N526" t="s">
        <v>2727</v>
      </c>
      <c r="O526" t="s">
        <v>2728</v>
      </c>
      <c r="P526">
        <v>0</v>
      </c>
      <c r="Q526">
        <v>0</v>
      </c>
      <c r="R526" t="s">
        <v>2730</v>
      </c>
      <c r="S526" t="s">
        <v>2732</v>
      </c>
      <c r="T526" t="s">
        <v>2741</v>
      </c>
      <c r="U526" t="s">
        <v>3333</v>
      </c>
      <c r="W526" t="s">
        <v>2597</v>
      </c>
      <c r="X526" t="s">
        <v>2729</v>
      </c>
    </row>
    <row r="527" spans="1:24">
      <c r="A527">
        <f>HYPERLINK("https://www.philgeps.gov.ph/GEPSNONPILOT/Tender/SplashBidNoticeAbstractUI.aspx?menuIndex=3&amp;refID=7064840&amp;Result=3","7064840")</f>
        <v>0</v>
      </c>
      <c r="B527" t="s">
        <v>178</v>
      </c>
      <c r="C527" t="s">
        <v>845</v>
      </c>
      <c r="D527" t="s">
        <v>1004</v>
      </c>
      <c r="E527" t="s">
        <v>1569</v>
      </c>
      <c r="F527" t="s">
        <v>1712</v>
      </c>
      <c r="G527" t="s">
        <v>1716</v>
      </c>
      <c r="H527" t="s">
        <v>1722</v>
      </c>
      <c r="I527" t="s">
        <v>1745</v>
      </c>
      <c r="J527" t="s">
        <v>2243</v>
      </c>
      <c r="K527" t="s">
        <v>2358</v>
      </c>
      <c r="M527" t="s">
        <v>2569</v>
      </c>
      <c r="N527" t="s">
        <v>2727</v>
      </c>
      <c r="O527" t="s">
        <v>2728</v>
      </c>
      <c r="P527">
        <v>0</v>
      </c>
      <c r="Q527">
        <v>0</v>
      </c>
      <c r="R527" t="s">
        <v>2730</v>
      </c>
      <c r="S527" t="s">
        <v>2732</v>
      </c>
      <c r="T527" t="s">
        <v>2771</v>
      </c>
      <c r="U527" t="s">
        <v>3334</v>
      </c>
      <c r="W527" t="s">
        <v>2569</v>
      </c>
      <c r="X527" t="s">
        <v>2729</v>
      </c>
    </row>
    <row r="528" spans="1:24">
      <c r="A528">
        <f>HYPERLINK("https://www.philgeps.gov.ph/GEPSNONPILOT/Tender/SplashBidNoticeAbstractUI.aspx?menuIndex=3&amp;refID=7064848&amp;Result=3","7064848")</f>
        <v>0</v>
      </c>
      <c r="B528" t="s">
        <v>194</v>
      </c>
      <c r="C528" t="s">
        <v>846</v>
      </c>
      <c r="D528" t="s">
        <v>1013</v>
      </c>
      <c r="E528" t="s">
        <v>1570</v>
      </c>
      <c r="F528" t="s">
        <v>1712</v>
      </c>
      <c r="G528" t="s">
        <v>1721</v>
      </c>
      <c r="H528" t="s">
        <v>1722</v>
      </c>
      <c r="I528" t="s">
        <v>1727</v>
      </c>
      <c r="J528" t="s">
        <v>2244</v>
      </c>
      <c r="K528" t="s">
        <v>2367</v>
      </c>
      <c r="M528" t="s">
        <v>2585</v>
      </c>
      <c r="N528" t="s">
        <v>2727</v>
      </c>
      <c r="O528" t="s">
        <v>2728</v>
      </c>
      <c r="P528">
        <v>0</v>
      </c>
      <c r="Q528">
        <v>0</v>
      </c>
      <c r="R528" t="s">
        <v>2730</v>
      </c>
      <c r="S528" t="s">
        <v>2732</v>
      </c>
      <c r="T528" t="s">
        <v>2763</v>
      </c>
      <c r="U528" t="s">
        <v>3335</v>
      </c>
      <c r="W528" t="s">
        <v>3581</v>
      </c>
      <c r="X528" t="s">
        <v>2729</v>
      </c>
    </row>
    <row r="529" spans="1:24">
      <c r="A529">
        <f>HYPERLINK("https://www.philgeps.gov.ph/GEPSNONPILOT/Tender/SplashBidNoticeAbstractUI.aspx?menuIndex=3&amp;refID=7064841&amp;Result=3","7064841")</f>
        <v>0</v>
      </c>
      <c r="B529" t="s">
        <v>218</v>
      </c>
      <c r="C529" t="s">
        <v>847</v>
      </c>
      <c r="D529" t="s">
        <v>1057</v>
      </c>
      <c r="E529" t="s">
        <v>1571</v>
      </c>
      <c r="F529" t="s">
        <v>1712</v>
      </c>
      <c r="G529" t="s">
        <v>1717</v>
      </c>
      <c r="H529" t="s">
        <v>1725</v>
      </c>
      <c r="I529" t="s">
        <v>1777</v>
      </c>
      <c r="J529" t="s">
        <v>1874</v>
      </c>
      <c r="K529" t="s">
        <v>2365</v>
      </c>
      <c r="M529" t="s">
        <v>2609</v>
      </c>
      <c r="N529" t="s">
        <v>2727</v>
      </c>
      <c r="O529" t="s">
        <v>2728</v>
      </c>
      <c r="P529">
        <v>0</v>
      </c>
      <c r="Q529">
        <v>0</v>
      </c>
      <c r="R529" t="s">
        <v>2730</v>
      </c>
      <c r="S529" t="s">
        <v>2732</v>
      </c>
      <c r="T529" t="s">
        <v>2812</v>
      </c>
      <c r="U529" t="s">
        <v>3336</v>
      </c>
      <c r="V529" t="s">
        <v>3543</v>
      </c>
      <c r="W529" t="s">
        <v>2609</v>
      </c>
      <c r="X529" t="s">
        <v>2729</v>
      </c>
    </row>
    <row r="530" spans="1:24">
      <c r="A530">
        <f>HYPERLINK("https://www.philgeps.gov.ph/GEPSNONPILOT/Tender/SplashBidNoticeAbstractUI.aspx?menuIndex=3&amp;refID=7064853&amp;Result=3","7064853")</f>
        <v>0</v>
      </c>
      <c r="B530" t="s">
        <v>261</v>
      </c>
      <c r="C530" t="s">
        <v>848</v>
      </c>
      <c r="D530" t="s">
        <v>1007</v>
      </c>
      <c r="E530" t="s">
        <v>1572</v>
      </c>
      <c r="F530" t="s">
        <v>1712</v>
      </c>
      <c r="G530" t="s">
        <v>1716</v>
      </c>
      <c r="H530" t="s">
        <v>1722</v>
      </c>
      <c r="I530" t="s">
        <v>1734</v>
      </c>
      <c r="J530" t="s">
        <v>2024</v>
      </c>
      <c r="K530" t="s">
        <v>2370</v>
      </c>
      <c r="M530" t="s">
        <v>2653</v>
      </c>
      <c r="N530" t="s">
        <v>2727</v>
      </c>
      <c r="O530" t="s">
        <v>2728</v>
      </c>
      <c r="P530">
        <v>0</v>
      </c>
      <c r="Q530">
        <v>0</v>
      </c>
      <c r="R530" t="s">
        <v>2730</v>
      </c>
      <c r="S530" t="s">
        <v>2732</v>
      </c>
      <c r="T530" t="s">
        <v>2738</v>
      </c>
      <c r="U530" t="s">
        <v>3337</v>
      </c>
      <c r="V530" t="s">
        <v>3553</v>
      </c>
      <c r="W530" t="s">
        <v>2653</v>
      </c>
      <c r="X530" t="s">
        <v>2729</v>
      </c>
    </row>
    <row r="531" spans="1:24">
      <c r="A531">
        <f>HYPERLINK("https://www.philgeps.gov.ph/GEPSNONPILOT/Tender/SplashBidNoticeAbstractUI.aspx?menuIndex=3&amp;refID=7064861&amp;Result=3","7064861")</f>
        <v>0</v>
      </c>
      <c r="B531" t="s">
        <v>211</v>
      </c>
      <c r="C531" t="s">
        <v>849</v>
      </c>
      <c r="D531" t="s">
        <v>995</v>
      </c>
      <c r="E531" t="s">
        <v>1573</v>
      </c>
      <c r="F531" t="s">
        <v>1712</v>
      </c>
      <c r="G531" t="s">
        <v>1717</v>
      </c>
      <c r="H531" t="s">
        <v>1722</v>
      </c>
      <c r="I531" t="s">
        <v>1790</v>
      </c>
      <c r="J531" t="s">
        <v>2245</v>
      </c>
      <c r="K531" t="s">
        <v>2367</v>
      </c>
      <c r="M531" t="s">
        <v>2602</v>
      </c>
      <c r="N531" t="s">
        <v>2727</v>
      </c>
      <c r="O531" t="s">
        <v>2728</v>
      </c>
      <c r="P531">
        <v>0</v>
      </c>
      <c r="Q531">
        <v>0</v>
      </c>
      <c r="R531" t="s">
        <v>2730</v>
      </c>
      <c r="S531" t="s">
        <v>2732</v>
      </c>
      <c r="T531" t="s">
        <v>2828</v>
      </c>
      <c r="U531" t="s">
        <v>3338</v>
      </c>
      <c r="W531" t="s">
        <v>2602</v>
      </c>
      <c r="X531" t="s">
        <v>2729</v>
      </c>
    </row>
    <row r="532" spans="1:24">
      <c r="A532">
        <f>HYPERLINK("https://www.philgeps.gov.ph/GEPSNONPILOT/Tender/SplashBidNoticeAbstractUI.aspx?menuIndex=3&amp;refID=7064860&amp;Result=3","7064860")</f>
        <v>0</v>
      </c>
      <c r="B532" t="s">
        <v>248</v>
      </c>
      <c r="C532" t="s">
        <v>850</v>
      </c>
      <c r="D532" t="s">
        <v>1022</v>
      </c>
      <c r="E532" t="s">
        <v>1574</v>
      </c>
      <c r="F532" t="s">
        <v>1712</v>
      </c>
      <c r="G532" t="s">
        <v>1717</v>
      </c>
      <c r="H532" t="s">
        <v>1722</v>
      </c>
      <c r="I532" t="s">
        <v>1793</v>
      </c>
      <c r="J532" t="s">
        <v>2246</v>
      </c>
      <c r="K532" t="s">
        <v>2408</v>
      </c>
      <c r="M532" t="s">
        <v>2639</v>
      </c>
      <c r="N532" t="s">
        <v>2727</v>
      </c>
      <c r="O532" t="s">
        <v>2728</v>
      </c>
      <c r="P532">
        <v>0</v>
      </c>
      <c r="Q532">
        <v>0</v>
      </c>
      <c r="R532" t="s">
        <v>2730</v>
      </c>
      <c r="S532" t="s">
        <v>2732</v>
      </c>
      <c r="T532" t="s">
        <v>2787</v>
      </c>
      <c r="U532" t="s">
        <v>3339</v>
      </c>
      <c r="W532" t="s">
        <v>2639</v>
      </c>
      <c r="X532" t="s">
        <v>2729</v>
      </c>
    </row>
    <row r="533" spans="1:24">
      <c r="A533">
        <f>HYPERLINK("https://www.philgeps.gov.ph/GEPSNONPILOT/Tender/SplashBidNoticeAbstractUI.aspx?menuIndex=3&amp;refID=7064847&amp;Result=3","7064847")</f>
        <v>0</v>
      </c>
      <c r="B533" t="s">
        <v>262</v>
      </c>
      <c r="C533" t="s">
        <v>851</v>
      </c>
      <c r="D533" t="s">
        <v>998</v>
      </c>
      <c r="E533" t="s">
        <v>1575</v>
      </c>
      <c r="F533" t="s">
        <v>1712</v>
      </c>
      <c r="G533" t="s">
        <v>1721</v>
      </c>
      <c r="H533" t="s">
        <v>1722</v>
      </c>
      <c r="I533" t="s">
        <v>1727</v>
      </c>
      <c r="J533" t="s">
        <v>2247</v>
      </c>
      <c r="K533" t="s">
        <v>2367</v>
      </c>
      <c r="M533" t="s">
        <v>2654</v>
      </c>
      <c r="N533" t="s">
        <v>2727</v>
      </c>
      <c r="O533" t="s">
        <v>2728</v>
      </c>
      <c r="P533">
        <v>0</v>
      </c>
      <c r="Q533">
        <v>0</v>
      </c>
      <c r="R533" t="s">
        <v>2730</v>
      </c>
      <c r="S533" t="s">
        <v>2732</v>
      </c>
      <c r="T533" t="s">
        <v>2748</v>
      </c>
      <c r="U533" t="s">
        <v>3340</v>
      </c>
      <c r="W533" t="s">
        <v>2654</v>
      </c>
      <c r="X533" t="s">
        <v>2729</v>
      </c>
    </row>
    <row r="534" spans="1:24">
      <c r="A534">
        <f>HYPERLINK("https://www.philgeps.gov.ph/GEPSNONPILOT/Tender/SplashBidNoticeAbstractUI.aspx?menuIndex=3&amp;refID=7064844&amp;Result=3","7064844")</f>
        <v>0</v>
      </c>
      <c r="B534" t="s">
        <v>263</v>
      </c>
      <c r="C534" t="s">
        <v>852</v>
      </c>
      <c r="D534" t="s">
        <v>1027</v>
      </c>
      <c r="E534" t="s">
        <v>1576</v>
      </c>
      <c r="F534" t="s">
        <v>1712</v>
      </c>
      <c r="G534" t="s">
        <v>1716</v>
      </c>
      <c r="H534" t="s">
        <v>1722</v>
      </c>
      <c r="I534" t="s">
        <v>1726</v>
      </c>
      <c r="J534" t="s">
        <v>1820</v>
      </c>
      <c r="K534" t="s">
        <v>2366</v>
      </c>
      <c r="M534" t="s">
        <v>2655</v>
      </c>
      <c r="N534" t="s">
        <v>2727</v>
      </c>
      <c r="O534" t="s">
        <v>2728</v>
      </c>
      <c r="P534">
        <v>0</v>
      </c>
      <c r="Q534">
        <v>3</v>
      </c>
      <c r="R534" t="s">
        <v>2730</v>
      </c>
      <c r="S534" t="s">
        <v>2732</v>
      </c>
      <c r="T534" t="s">
        <v>2801</v>
      </c>
      <c r="U534" t="s">
        <v>3341</v>
      </c>
      <c r="W534" t="s">
        <v>2655</v>
      </c>
      <c r="X534" t="s">
        <v>2729</v>
      </c>
    </row>
    <row r="535" spans="1:24">
      <c r="A535">
        <f>HYPERLINK("https://www.philgeps.gov.ph/GEPSNONPILOT/Tender/SplashBidNoticeAbstractUI.aspx?menuIndex=3&amp;refID=7064839&amp;Result=3","7064839")</f>
        <v>0</v>
      </c>
      <c r="B535" t="s">
        <v>264</v>
      </c>
      <c r="C535" t="s">
        <v>853</v>
      </c>
      <c r="D535" t="s">
        <v>1058</v>
      </c>
      <c r="E535" t="s">
        <v>1577</v>
      </c>
      <c r="F535" t="s">
        <v>1712</v>
      </c>
      <c r="G535" t="s">
        <v>1717</v>
      </c>
      <c r="H535" t="s">
        <v>1722</v>
      </c>
      <c r="I535" t="s">
        <v>1776</v>
      </c>
      <c r="J535" t="s">
        <v>2248</v>
      </c>
      <c r="K535" t="s">
        <v>2383</v>
      </c>
      <c r="M535" t="s">
        <v>2656</v>
      </c>
      <c r="N535" t="s">
        <v>2727</v>
      </c>
      <c r="O535" t="s">
        <v>2728</v>
      </c>
      <c r="P535">
        <v>0</v>
      </c>
      <c r="Q535">
        <v>0</v>
      </c>
      <c r="R535" t="s">
        <v>2730</v>
      </c>
      <c r="S535" t="s">
        <v>2732</v>
      </c>
      <c r="T535" t="s">
        <v>2843</v>
      </c>
      <c r="U535" t="s">
        <v>3342</v>
      </c>
      <c r="W535" t="s">
        <v>2656</v>
      </c>
      <c r="X535" t="s">
        <v>2729</v>
      </c>
    </row>
    <row r="536" spans="1:24">
      <c r="A536">
        <f>HYPERLINK("https://www.philgeps.gov.ph/GEPSNONPILOT/Tender/SplashBidNoticeAbstractUI.aspx?menuIndex=3&amp;refID=7064852&amp;Result=3","7064852")</f>
        <v>0</v>
      </c>
      <c r="B536" t="s">
        <v>265</v>
      </c>
      <c r="C536" t="s">
        <v>854</v>
      </c>
      <c r="D536" t="s">
        <v>1030</v>
      </c>
      <c r="E536" t="s">
        <v>1539</v>
      </c>
      <c r="F536" t="s">
        <v>1713</v>
      </c>
      <c r="G536" t="s">
        <v>1718</v>
      </c>
      <c r="H536" t="s">
        <v>1722</v>
      </c>
      <c r="I536" t="s">
        <v>1745</v>
      </c>
      <c r="J536" t="s">
        <v>2249</v>
      </c>
      <c r="K536" t="s">
        <v>2381</v>
      </c>
      <c r="M536" t="s">
        <v>2657</v>
      </c>
      <c r="N536" t="s">
        <v>2727</v>
      </c>
      <c r="O536" t="s">
        <v>2728</v>
      </c>
      <c r="P536">
        <v>0</v>
      </c>
      <c r="Q536">
        <v>0</v>
      </c>
      <c r="R536" t="s">
        <v>2730</v>
      </c>
      <c r="S536" t="s">
        <v>2732</v>
      </c>
      <c r="T536" t="s">
        <v>2841</v>
      </c>
      <c r="U536" t="s">
        <v>3343</v>
      </c>
      <c r="W536" t="s">
        <v>2657</v>
      </c>
      <c r="X536" t="s">
        <v>2729</v>
      </c>
    </row>
    <row r="537" spans="1:24">
      <c r="A537">
        <f>HYPERLINK("https://www.philgeps.gov.ph/GEPSNONPILOT/Tender/SplashBidNoticeAbstractUI.aspx?menuIndex=3&amp;refID=7064857&amp;Result=3","7064857")</f>
        <v>0</v>
      </c>
      <c r="B537" t="s">
        <v>266</v>
      </c>
      <c r="C537" t="s">
        <v>855</v>
      </c>
      <c r="D537" t="s">
        <v>1013</v>
      </c>
      <c r="E537" t="s">
        <v>1578</v>
      </c>
      <c r="F537" t="s">
        <v>1712</v>
      </c>
      <c r="G537" t="s">
        <v>1716</v>
      </c>
      <c r="H537" t="s">
        <v>1722</v>
      </c>
      <c r="I537" t="s">
        <v>1732</v>
      </c>
      <c r="J537" t="s">
        <v>2250</v>
      </c>
      <c r="K537" t="s">
        <v>2359</v>
      </c>
      <c r="M537" t="s">
        <v>2658</v>
      </c>
      <c r="N537" t="s">
        <v>2727</v>
      </c>
      <c r="O537" t="s">
        <v>2728</v>
      </c>
      <c r="P537">
        <v>0</v>
      </c>
      <c r="Q537">
        <v>0</v>
      </c>
      <c r="R537" t="s">
        <v>2730</v>
      </c>
      <c r="S537" t="s">
        <v>2732</v>
      </c>
      <c r="T537" t="s">
        <v>2753</v>
      </c>
      <c r="U537" t="s">
        <v>3344</v>
      </c>
      <c r="W537" t="s">
        <v>2658</v>
      </c>
      <c r="X537" t="s">
        <v>2729</v>
      </c>
    </row>
    <row r="538" spans="1:24">
      <c r="A538">
        <f>HYPERLINK("https://www.philgeps.gov.ph/GEPSNONPILOT/Tender/SplashBidNoticeAbstractUI.aspx?menuIndex=3&amp;refID=7064854&amp;Result=3","7064854")</f>
        <v>0</v>
      </c>
      <c r="B538" t="s">
        <v>267</v>
      </c>
      <c r="C538" t="s">
        <v>856</v>
      </c>
      <c r="D538" t="s">
        <v>1018</v>
      </c>
      <c r="E538" t="s">
        <v>1579</v>
      </c>
      <c r="F538" t="s">
        <v>1712</v>
      </c>
      <c r="G538" t="s">
        <v>1717</v>
      </c>
      <c r="H538" t="s">
        <v>1722</v>
      </c>
      <c r="I538" t="s">
        <v>1745</v>
      </c>
      <c r="J538" t="s">
        <v>2251</v>
      </c>
      <c r="K538" t="s">
        <v>2360</v>
      </c>
      <c r="M538" t="s">
        <v>2659</v>
      </c>
      <c r="N538" t="s">
        <v>2727</v>
      </c>
      <c r="O538" t="s">
        <v>2728</v>
      </c>
      <c r="P538">
        <v>0</v>
      </c>
      <c r="Q538">
        <v>1</v>
      </c>
      <c r="R538" t="s">
        <v>2730</v>
      </c>
      <c r="S538" t="s">
        <v>2732</v>
      </c>
      <c r="T538" t="s">
        <v>2746</v>
      </c>
      <c r="U538" t="s">
        <v>3345</v>
      </c>
      <c r="V538" t="s">
        <v>3554</v>
      </c>
      <c r="W538" t="s">
        <v>2659</v>
      </c>
      <c r="X538" t="s">
        <v>2729</v>
      </c>
    </row>
    <row r="539" spans="1:24">
      <c r="A539">
        <f>HYPERLINK("https://www.philgeps.gov.ph/GEPSNONPILOT/Tender/SplashBidNoticeAbstractUI.aspx?menuIndex=3&amp;refID=7064858&amp;Result=3","7064858")</f>
        <v>0</v>
      </c>
      <c r="B539" t="s">
        <v>251</v>
      </c>
      <c r="C539" t="s">
        <v>857</v>
      </c>
      <c r="D539" t="s">
        <v>1008</v>
      </c>
      <c r="E539" t="s">
        <v>1580</v>
      </c>
      <c r="F539" t="s">
        <v>1712</v>
      </c>
      <c r="G539" t="s">
        <v>1717</v>
      </c>
      <c r="H539" t="s">
        <v>1722</v>
      </c>
      <c r="I539" t="s">
        <v>1742</v>
      </c>
      <c r="J539" t="s">
        <v>2252</v>
      </c>
      <c r="K539" t="s">
        <v>2371</v>
      </c>
      <c r="M539" t="s">
        <v>2642</v>
      </c>
      <c r="N539" t="s">
        <v>2727</v>
      </c>
      <c r="O539" t="s">
        <v>2728</v>
      </c>
      <c r="P539">
        <v>0</v>
      </c>
      <c r="Q539">
        <v>0</v>
      </c>
      <c r="R539" t="s">
        <v>2730</v>
      </c>
      <c r="S539" t="s">
        <v>2732</v>
      </c>
      <c r="T539" t="s">
        <v>2747</v>
      </c>
      <c r="U539" t="s">
        <v>3316</v>
      </c>
      <c r="W539" t="s">
        <v>2642</v>
      </c>
      <c r="X539" t="s">
        <v>2729</v>
      </c>
    </row>
    <row r="540" spans="1:24">
      <c r="A540">
        <f>HYPERLINK("https://www.philgeps.gov.ph/GEPSNONPILOT/Tender/SplashBidNoticeAbstractUI.aspx?menuIndex=3&amp;refID=7064855&amp;Result=3","7064855")</f>
        <v>0</v>
      </c>
      <c r="B540" t="s">
        <v>220</v>
      </c>
      <c r="C540" t="s">
        <v>858</v>
      </c>
      <c r="D540" t="s">
        <v>1029</v>
      </c>
      <c r="E540" t="s">
        <v>1581</v>
      </c>
      <c r="F540" t="s">
        <v>1712</v>
      </c>
      <c r="G540" t="s">
        <v>1718</v>
      </c>
      <c r="H540" t="s">
        <v>1722</v>
      </c>
      <c r="I540" t="s">
        <v>1732</v>
      </c>
      <c r="J540" t="s">
        <v>2253</v>
      </c>
      <c r="K540" t="s">
        <v>2359</v>
      </c>
      <c r="M540" t="s">
        <v>2611</v>
      </c>
      <c r="N540" t="s">
        <v>2727</v>
      </c>
      <c r="O540" t="s">
        <v>2728</v>
      </c>
      <c r="P540">
        <v>0</v>
      </c>
      <c r="Q540">
        <v>0</v>
      </c>
      <c r="R540" t="s">
        <v>2730</v>
      </c>
      <c r="S540" t="s">
        <v>2732</v>
      </c>
      <c r="T540" t="s">
        <v>2787</v>
      </c>
      <c r="U540" t="s">
        <v>3346</v>
      </c>
      <c r="W540" t="s">
        <v>2611</v>
      </c>
      <c r="X540" t="s">
        <v>2729</v>
      </c>
    </row>
    <row r="541" spans="1:24">
      <c r="A541">
        <f>HYPERLINK("https://www.philgeps.gov.ph/GEPSNONPILOT/Tender/SplashBidNoticeAbstractUI.aspx?menuIndex=3&amp;refID=7064866&amp;Result=3","7064866")</f>
        <v>0</v>
      </c>
      <c r="B541" t="s">
        <v>268</v>
      </c>
      <c r="C541" t="s">
        <v>859</v>
      </c>
      <c r="D541" t="s">
        <v>1059</v>
      </c>
      <c r="E541" t="s">
        <v>1582</v>
      </c>
      <c r="F541" t="s">
        <v>1712</v>
      </c>
      <c r="G541" t="s">
        <v>1717</v>
      </c>
      <c r="H541" t="s">
        <v>1722</v>
      </c>
      <c r="I541" t="s">
        <v>1730</v>
      </c>
      <c r="J541" t="s">
        <v>2254</v>
      </c>
      <c r="K541" t="s">
        <v>2370</v>
      </c>
      <c r="M541" t="s">
        <v>2660</v>
      </c>
      <c r="N541" t="s">
        <v>2727</v>
      </c>
      <c r="O541" t="s">
        <v>2728</v>
      </c>
      <c r="P541">
        <v>0</v>
      </c>
      <c r="Q541">
        <v>0</v>
      </c>
      <c r="R541" t="s">
        <v>2730</v>
      </c>
      <c r="S541" t="s">
        <v>2732</v>
      </c>
      <c r="T541" t="s">
        <v>2828</v>
      </c>
      <c r="U541" t="s">
        <v>3347</v>
      </c>
      <c r="W541" t="s">
        <v>2660</v>
      </c>
      <c r="X541" t="s">
        <v>2729</v>
      </c>
    </row>
    <row r="542" spans="1:24">
      <c r="A542">
        <f>HYPERLINK("https://www.philgeps.gov.ph/GEPSNONPILOT/Tender/SplashBidNoticeAbstractUI.aspx?menuIndex=3&amp;refID=7064865&amp;Result=3","7064865")</f>
        <v>0</v>
      </c>
      <c r="B542" t="s">
        <v>166</v>
      </c>
      <c r="C542" t="s">
        <v>860</v>
      </c>
      <c r="D542" t="s">
        <v>1021</v>
      </c>
      <c r="E542" t="s">
        <v>1583</v>
      </c>
      <c r="F542" t="s">
        <v>1712</v>
      </c>
      <c r="G542" t="s">
        <v>1716</v>
      </c>
      <c r="H542" t="s">
        <v>1722</v>
      </c>
      <c r="I542" t="s">
        <v>1731</v>
      </c>
      <c r="J542" t="s">
        <v>2255</v>
      </c>
      <c r="K542" t="s">
        <v>2366</v>
      </c>
      <c r="M542" t="s">
        <v>2557</v>
      </c>
      <c r="N542" t="s">
        <v>2727</v>
      </c>
      <c r="O542" t="s">
        <v>2728</v>
      </c>
      <c r="P542">
        <v>0</v>
      </c>
      <c r="Q542">
        <v>0</v>
      </c>
      <c r="R542" t="s">
        <v>2730</v>
      </c>
      <c r="S542" t="s">
        <v>2732</v>
      </c>
      <c r="T542" t="s">
        <v>2752</v>
      </c>
      <c r="U542" t="s">
        <v>3193</v>
      </c>
      <c r="V542" t="s">
        <v>3528</v>
      </c>
      <c r="W542" t="s">
        <v>2557</v>
      </c>
      <c r="X542" t="s">
        <v>2729</v>
      </c>
    </row>
    <row r="543" spans="1:24">
      <c r="A543">
        <f>HYPERLINK("https://www.philgeps.gov.ph/GEPSNONPILOT/Tender/SplashBidNoticeAbstractUI.aspx?menuIndex=3&amp;refID=7064864&amp;Result=3","7064864")</f>
        <v>0</v>
      </c>
      <c r="B543" t="s">
        <v>233</v>
      </c>
      <c r="C543" t="s">
        <v>861</v>
      </c>
      <c r="D543" t="s">
        <v>1007</v>
      </c>
      <c r="E543" t="s">
        <v>1584</v>
      </c>
      <c r="F543" t="s">
        <v>1712</v>
      </c>
      <c r="G543" t="s">
        <v>1719</v>
      </c>
      <c r="H543" t="s">
        <v>1722</v>
      </c>
      <c r="I543" t="s">
        <v>1732</v>
      </c>
      <c r="J543" t="s">
        <v>2256</v>
      </c>
      <c r="K543" t="s">
        <v>2359</v>
      </c>
      <c r="M543" t="s">
        <v>2624</v>
      </c>
      <c r="N543" t="s">
        <v>2727</v>
      </c>
      <c r="O543" t="s">
        <v>2728</v>
      </c>
      <c r="P543">
        <v>0</v>
      </c>
      <c r="Q543">
        <v>0</v>
      </c>
      <c r="R543" t="s">
        <v>2730</v>
      </c>
      <c r="S543" t="s">
        <v>2732</v>
      </c>
      <c r="T543" t="s">
        <v>2741</v>
      </c>
      <c r="U543" t="s">
        <v>3348</v>
      </c>
      <c r="W543" t="s">
        <v>2624</v>
      </c>
      <c r="X543" t="s">
        <v>2729</v>
      </c>
    </row>
    <row r="544" spans="1:24">
      <c r="A544">
        <f>HYPERLINK("https://www.philgeps.gov.ph/GEPSNONPILOT/Tender/SplashBidNoticeAbstractUI.aspx?menuIndex=3&amp;refID=7064856&amp;Result=3","7064856")</f>
        <v>0</v>
      </c>
      <c r="B544" t="s">
        <v>234</v>
      </c>
      <c r="C544" t="s">
        <v>862</v>
      </c>
      <c r="D544" t="s">
        <v>1008</v>
      </c>
      <c r="E544" t="s">
        <v>1585</v>
      </c>
      <c r="F544" t="s">
        <v>1712</v>
      </c>
      <c r="G544" t="s">
        <v>1717</v>
      </c>
      <c r="H544" t="s">
        <v>1722</v>
      </c>
      <c r="I544" t="s">
        <v>1738</v>
      </c>
      <c r="J544" t="s">
        <v>2257</v>
      </c>
      <c r="K544" t="s">
        <v>2405</v>
      </c>
      <c r="M544" t="s">
        <v>2625</v>
      </c>
      <c r="N544" t="s">
        <v>2727</v>
      </c>
      <c r="O544" t="s">
        <v>2728</v>
      </c>
      <c r="P544">
        <v>0</v>
      </c>
      <c r="Q544">
        <v>0</v>
      </c>
      <c r="R544" t="s">
        <v>2730</v>
      </c>
      <c r="S544" t="s">
        <v>2732</v>
      </c>
      <c r="T544" t="s">
        <v>2753</v>
      </c>
      <c r="U544" t="s">
        <v>3349</v>
      </c>
      <c r="W544" t="s">
        <v>2625</v>
      </c>
      <c r="X544" t="s">
        <v>2729</v>
      </c>
    </row>
    <row r="545" spans="1:24">
      <c r="A545">
        <f>HYPERLINK("https://www.philgeps.gov.ph/GEPSNONPILOT/Tender/SplashBidNoticeAbstractUI.aspx?menuIndex=3&amp;refID=7064881&amp;Result=3","7064881")</f>
        <v>0</v>
      </c>
      <c r="B545" t="s">
        <v>269</v>
      </c>
      <c r="C545" t="s">
        <v>863</v>
      </c>
      <c r="D545" t="s">
        <v>999</v>
      </c>
      <c r="E545" t="s">
        <v>1586</v>
      </c>
      <c r="F545" t="s">
        <v>1712</v>
      </c>
      <c r="G545" t="s">
        <v>1717</v>
      </c>
      <c r="H545" t="s">
        <v>1722</v>
      </c>
      <c r="I545" t="s">
        <v>1745</v>
      </c>
      <c r="J545" t="s">
        <v>2258</v>
      </c>
      <c r="K545" t="s">
        <v>2371</v>
      </c>
      <c r="M545" t="s">
        <v>2661</v>
      </c>
      <c r="N545" t="s">
        <v>2727</v>
      </c>
      <c r="O545" t="s">
        <v>2728</v>
      </c>
      <c r="P545">
        <v>0</v>
      </c>
      <c r="Q545">
        <v>0</v>
      </c>
      <c r="R545" t="s">
        <v>2730</v>
      </c>
      <c r="S545" t="s">
        <v>2732</v>
      </c>
      <c r="T545" t="s">
        <v>2749</v>
      </c>
      <c r="U545" t="s">
        <v>3350</v>
      </c>
      <c r="V545" t="s">
        <v>3555</v>
      </c>
      <c r="W545" t="s">
        <v>2661</v>
      </c>
      <c r="X545" t="s">
        <v>2729</v>
      </c>
    </row>
    <row r="546" spans="1:24">
      <c r="A546">
        <f>HYPERLINK("https://www.philgeps.gov.ph/GEPSNONPILOT/Tender/SplashBidNoticeAbstractUI.aspx?menuIndex=3&amp;refID=7064872&amp;Result=3","7064872")</f>
        <v>0</v>
      </c>
      <c r="B546" t="s">
        <v>239</v>
      </c>
      <c r="C546" t="s">
        <v>864</v>
      </c>
      <c r="D546" t="s">
        <v>1014</v>
      </c>
      <c r="E546" t="s">
        <v>1587</v>
      </c>
      <c r="F546" t="s">
        <v>1712</v>
      </c>
      <c r="G546" t="s">
        <v>1718</v>
      </c>
      <c r="H546" t="s">
        <v>1722</v>
      </c>
      <c r="I546" t="s">
        <v>1727</v>
      </c>
      <c r="J546" t="s">
        <v>2259</v>
      </c>
      <c r="K546" t="s">
        <v>2366</v>
      </c>
      <c r="M546" t="s">
        <v>2630</v>
      </c>
      <c r="N546" t="s">
        <v>2727</v>
      </c>
      <c r="O546" t="s">
        <v>2728</v>
      </c>
      <c r="P546">
        <v>0</v>
      </c>
      <c r="Q546">
        <v>0</v>
      </c>
      <c r="R546" t="s">
        <v>2730</v>
      </c>
      <c r="S546" t="s">
        <v>2732</v>
      </c>
      <c r="T546" t="s">
        <v>2747</v>
      </c>
      <c r="U546" t="s">
        <v>3351</v>
      </c>
      <c r="W546" t="s">
        <v>2630</v>
      </c>
      <c r="X546" t="s">
        <v>2729</v>
      </c>
    </row>
    <row r="547" spans="1:24">
      <c r="A547">
        <f>HYPERLINK("https://www.philgeps.gov.ph/GEPSNONPILOT/Tender/SplashBidNoticeAbstractUI.aspx?menuIndex=3&amp;refID=7064879&amp;Result=3","7064879")</f>
        <v>0</v>
      </c>
      <c r="B547" t="s">
        <v>270</v>
      </c>
      <c r="C547" t="s">
        <v>865</v>
      </c>
      <c r="D547" t="s">
        <v>998</v>
      </c>
      <c r="E547" t="s">
        <v>1588</v>
      </c>
      <c r="F547" t="s">
        <v>1712</v>
      </c>
      <c r="G547" t="s">
        <v>1717</v>
      </c>
      <c r="H547" t="s">
        <v>1722</v>
      </c>
      <c r="I547" t="s">
        <v>1794</v>
      </c>
      <c r="J547" t="s">
        <v>2260</v>
      </c>
      <c r="K547" t="s">
        <v>2358</v>
      </c>
      <c r="M547" t="s">
        <v>2662</v>
      </c>
      <c r="N547" t="s">
        <v>2727</v>
      </c>
      <c r="O547" t="s">
        <v>2728</v>
      </c>
      <c r="P547">
        <v>0</v>
      </c>
      <c r="Q547">
        <v>0</v>
      </c>
      <c r="R547" t="s">
        <v>2730</v>
      </c>
      <c r="S547" t="s">
        <v>2732</v>
      </c>
      <c r="T547" t="s">
        <v>2827</v>
      </c>
      <c r="U547" t="s">
        <v>3352</v>
      </c>
      <c r="V547" t="s">
        <v>3556</v>
      </c>
      <c r="W547" t="s">
        <v>2662</v>
      </c>
      <c r="X547" t="s">
        <v>2729</v>
      </c>
    </row>
    <row r="548" spans="1:24">
      <c r="A548">
        <f>HYPERLINK("https://www.philgeps.gov.ph/GEPSNONPILOT/Tender/SplashBidNoticeAbstractUI.aspx?menuIndex=3&amp;refID=7064877&amp;Result=3","7064877")</f>
        <v>0</v>
      </c>
      <c r="B548" t="s">
        <v>251</v>
      </c>
      <c r="C548" t="s">
        <v>866</v>
      </c>
      <c r="D548" t="s">
        <v>1008</v>
      </c>
      <c r="E548" t="s">
        <v>1589</v>
      </c>
      <c r="F548" t="s">
        <v>1712</v>
      </c>
      <c r="G548" t="s">
        <v>1717</v>
      </c>
      <c r="H548" t="s">
        <v>1722</v>
      </c>
      <c r="I548" t="s">
        <v>1773</v>
      </c>
      <c r="J548" t="s">
        <v>2020</v>
      </c>
      <c r="K548" t="s">
        <v>2371</v>
      </c>
      <c r="M548" t="s">
        <v>2642</v>
      </c>
      <c r="N548" t="s">
        <v>2727</v>
      </c>
      <c r="O548" t="s">
        <v>2728</v>
      </c>
      <c r="P548">
        <v>0</v>
      </c>
      <c r="Q548">
        <v>0</v>
      </c>
      <c r="R548" t="s">
        <v>2730</v>
      </c>
      <c r="S548" t="s">
        <v>2732</v>
      </c>
      <c r="T548" t="s">
        <v>2747</v>
      </c>
      <c r="U548" t="s">
        <v>3316</v>
      </c>
      <c r="W548" t="s">
        <v>2642</v>
      </c>
      <c r="X548" t="s">
        <v>2729</v>
      </c>
    </row>
    <row r="549" spans="1:24">
      <c r="A549">
        <f>HYPERLINK("https://www.philgeps.gov.ph/GEPSNONPILOT/Tender/SplashBidNoticeAbstractUI.aspx?menuIndex=3&amp;refID=7064871&amp;Result=3","7064871")</f>
        <v>0</v>
      </c>
      <c r="B549" t="s">
        <v>113</v>
      </c>
      <c r="C549" t="s">
        <v>867</v>
      </c>
      <c r="D549" t="s">
        <v>1020</v>
      </c>
      <c r="E549" t="s">
        <v>1590</v>
      </c>
      <c r="F549" t="s">
        <v>1712</v>
      </c>
      <c r="G549" t="s">
        <v>1716</v>
      </c>
      <c r="H549" t="s">
        <v>1722</v>
      </c>
      <c r="I549" t="s">
        <v>1771</v>
      </c>
      <c r="J549" t="s">
        <v>2261</v>
      </c>
      <c r="K549" t="s">
        <v>2366</v>
      </c>
      <c r="M549" t="s">
        <v>2504</v>
      </c>
      <c r="N549" t="s">
        <v>2727</v>
      </c>
      <c r="O549" t="s">
        <v>2728</v>
      </c>
      <c r="P549">
        <v>0</v>
      </c>
      <c r="Q549">
        <v>0</v>
      </c>
      <c r="R549" t="s">
        <v>2730</v>
      </c>
      <c r="S549" t="s">
        <v>2732</v>
      </c>
      <c r="T549" t="s">
        <v>2804</v>
      </c>
      <c r="U549" t="s">
        <v>3353</v>
      </c>
      <c r="W549" t="s">
        <v>2504</v>
      </c>
      <c r="X549" t="s">
        <v>2729</v>
      </c>
    </row>
    <row r="550" spans="1:24">
      <c r="A550">
        <f>HYPERLINK("https://www.philgeps.gov.ph/GEPSNONPILOT/Tender/SplashBidNoticeAbstractUI.aspx?menuIndex=3&amp;refID=7064873&amp;Result=3","7064873")</f>
        <v>0</v>
      </c>
      <c r="B550" t="s">
        <v>271</v>
      </c>
      <c r="C550" t="s">
        <v>868</v>
      </c>
      <c r="D550" t="s">
        <v>998</v>
      </c>
      <c r="E550" t="s">
        <v>1591</v>
      </c>
      <c r="F550" t="s">
        <v>1712</v>
      </c>
      <c r="G550" t="s">
        <v>1721</v>
      </c>
      <c r="H550" t="s">
        <v>1723</v>
      </c>
      <c r="I550" t="s">
        <v>1727</v>
      </c>
      <c r="J550" t="s">
        <v>2262</v>
      </c>
      <c r="K550" t="s">
        <v>2367</v>
      </c>
      <c r="M550" t="s">
        <v>2663</v>
      </c>
      <c r="N550" t="s">
        <v>2727</v>
      </c>
      <c r="O550" t="s">
        <v>2728</v>
      </c>
      <c r="P550">
        <v>0</v>
      </c>
      <c r="Q550">
        <v>0</v>
      </c>
      <c r="R550" t="s">
        <v>2730</v>
      </c>
      <c r="S550" t="s">
        <v>2732</v>
      </c>
      <c r="T550" t="s">
        <v>2774</v>
      </c>
      <c r="U550" t="s">
        <v>3354</v>
      </c>
      <c r="W550" t="s">
        <v>2663</v>
      </c>
      <c r="X550" t="s">
        <v>2729</v>
      </c>
    </row>
    <row r="551" spans="1:24">
      <c r="A551">
        <f>HYPERLINK("https://www.philgeps.gov.ph/GEPSNONPILOT/Tender/SplashBidNoticeAbstractUI.aspx?menuIndex=3&amp;refID=7064875&amp;Result=3","7064875")</f>
        <v>0</v>
      </c>
      <c r="B551" t="s">
        <v>112</v>
      </c>
      <c r="C551" t="s">
        <v>869</v>
      </c>
      <c r="D551" t="s">
        <v>1025</v>
      </c>
      <c r="E551" t="s">
        <v>1065</v>
      </c>
      <c r="F551" t="s">
        <v>1712</v>
      </c>
      <c r="G551" t="s">
        <v>1717</v>
      </c>
      <c r="H551" t="s">
        <v>1722</v>
      </c>
      <c r="I551" t="s">
        <v>1732</v>
      </c>
      <c r="J551" t="s">
        <v>2263</v>
      </c>
      <c r="K551" t="s">
        <v>2366</v>
      </c>
      <c r="M551" t="s">
        <v>2503</v>
      </c>
      <c r="N551" t="s">
        <v>2727</v>
      </c>
      <c r="O551" t="s">
        <v>2728</v>
      </c>
      <c r="P551">
        <v>0</v>
      </c>
      <c r="Q551">
        <v>0</v>
      </c>
      <c r="R551" t="s">
        <v>2730</v>
      </c>
      <c r="S551" t="s">
        <v>2732</v>
      </c>
      <c r="T551" t="s">
        <v>2749</v>
      </c>
      <c r="U551" t="s">
        <v>3355</v>
      </c>
      <c r="W551" t="s">
        <v>2503</v>
      </c>
      <c r="X551" t="s">
        <v>2729</v>
      </c>
    </row>
    <row r="552" spans="1:24">
      <c r="A552">
        <f>HYPERLINK("https://www.philgeps.gov.ph/GEPSNONPILOT/Tender/SplashBidNoticeAbstractUI.aspx?menuIndex=3&amp;refID=7064887&amp;Result=3","7064887")</f>
        <v>0</v>
      </c>
      <c r="B552" t="s">
        <v>272</v>
      </c>
      <c r="C552" t="s">
        <v>870</v>
      </c>
      <c r="D552" t="s">
        <v>997</v>
      </c>
      <c r="E552" t="s">
        <v>1592</v>
      </c>
      <c r="F552" t="s">
        <v>1712</v>
      </c>
      <c r="G552" t="s">
        <v>1718</v>
      </c>
      <c r="H552" t="s">
        <v>1722</v>
      </c>
      <c r="I552" t="s">
        <v>1773</v>
      </c>
      <c r="J552" t="s">
        <v>2264</v>
      </c>
      <c r="K552" t="s">
        <v>2367</v>
      </c>
      <c r="M552" t="s">
        <v>2664</v>
      </c>
      <c r="N552" t="s">
        <v>2727</v>
      </c>
      <c r="O552" t="s">
        <v>2728</v>
      </c>
      <c r="P552">
        <v>0</v>
      </c>
      <c r="Q552">
        <v>0</v>
      </c>
      <c r="R552" t="s">
        <v>2730</v>
      </c>
      <c r="S552" t="s">
        <v>2732</v>
      </c>
      <c r="T552" t="s">
        <v>2747</v>
      </c>
      <c r="U552" t="s">
        <v>3356</v>
      </c>
      <c r="W552" t="s">
        <v>2664</v>
      </c>
      <c r="X552" t="s">
        <v>2729</v>
      </c>
    </row>
    <row r="553" spans="1:24">
      <c r="A553">
        <f>HYPERLINK("https://www.philgeps.gov.ph/GEPSNONPILOT/Tender/SplashBidNoticeAbstractUI.aspx?menuIndex=3&amp;refID=7064880&amp;Result=3","7064880")</f>
        <v>0</v>
      </c>
      <c r="B553" t="s">
        <v>231</v>
      </c>
      <c r="C553" t="s">
        <v>871</v>
      </c>
      <c r="D553" t="s">
        <v>993</v>
      </c>
      <c r="E553" t="s">
        <v>1593</v>
      </c>
      <c r="F553" t="s">
        <v>1712</v>
      </c>
      <c r="G553" t="s">
        <v>1721</v>
      </c>
      <c r="H553" t="s">
        <v>1722</v>
      </c>
      <c r="I553" t="s">
        <v>1781</v>
      </c>
      <c r="J553" t="s">
        <v>2079</v>
      </c>
      <c r="K553" t="s">
        <v>2365</v>
      </c>
      <c r="M553" t="s">
        <v>2650</v>
      </c>
      <c r="N553" t="s">
        <v>2727</v>
      </c>
      <c r="O553" t="s">
        <v>2728</v>
      </c>
      <c r="P553">
        <v>0</v>
      </c>
      <c r="Q553">
        <v>0</v>
      </c>
      <c r="R553" t="s">
        <v>2730</v>
      </c>
      <c r="S553" t="s">
        <v>2732</v>
      </c>
      <c r="T553" t="s">
        <v>2825</v>
      </c>
      <c r="U553" t="s">
        <v>3357</v>
      </c>
      <c r="V553" t="s">
        <v>3551</v>
      </c>
      <c r="W553" t="s">
        <v>2650</v>
      </c>
      <c r="X553" t="s">
        <v>2729</v>
      </c>
    </row>
    <row r="554" spans="1:24">
      <c r="A554">
        <f>HYPERLINK("https://www.philgeps.gov.ph/GEPSNONPILOT/Tender/SplashBidNoticeAbstractUI.aspx?menuIndex=3&amp;refID=7064869&amp;Result=3","7064869")</f>
        <v>0</v>
      </c>
      <c r="B554" t="s">
        <v>273</v>
      </c>
      <c r="C554" t="s">
        <v>872</v>
      </c>
      <c r="E554" t="s">
        <v>1594</v>
      </c>
      <c r="F554" t="s">
        <v>1712</v>
      </c>
      <c r="G554" t="s">
        <v>1717</v>
      </c>
      <c r="H554" t="s">
        <v>1722</v>
      </c>
      <c r="I554" t="s">
        <v>1777</v>
      </c>
      <c r="J554" t="s">
        <v>2265</v>
      </c>
      <c r="K554" t="s">
        <v>2367</v>
      </c>
      <c r="M554" t="s">
        <v>2665</v>
      </c>
      <c r="N554" t="s">
        <v>2727</v>
      </c>
      <c r="O554" t="s">
        <v>2728</v>
      </c>
      <c r="P554">
        <v>0</v>
      </c>
      <c r="Q554">
        <v>0</v>
      </c>
      <c r="R554" t="s">
        <v>2730</v>
      </c>
      <c r="S554" t="s">
        <v>2732</v>
      </c>
      <c r="T554" t="s">
        <v>2746</v>
      </c>
      <c r="U554" t="s">
        <v>3358</v>
      </c>
      <c r="W554" t="s">
        <v>2665</v>
      </c>
      <c r="X554" t="s">
        <v>2729</v>
      </c>
    </row>
    <row r="555" spans="1:24">
      <c r="A555">
        <f>HYPERLINK("https://www.philgeps.gov.ph/GEPSNONPILOT/Tender/SplashBidNoticeAbstractUI.aspx?menuIndex=3&amp;refID=7064876&amp;Result=3","7064876")</f>
        <v>0</v>
      </c>
      <c r="B555" t="s">
        <v>274</v>
      </c>
      <c r="C555" t="s">
        <v>873</v>
      </c>
      <c r="D555" t="s">
        <v>1031</v>
      </c>
      <c r="E555" t="s">
        <v>1595</v>
      </c>
      <c r="F555" t="s">
        <v>1712</v>
      </c>
      <c r="G555" t="s">
        <v>1717</v>
      </c>
      <c r="H555" t="s">
        <v>1722</v>
      </c>
      <c r="I555" t="s">
        <v>1727</v>
      </c>
      <c r="J555" t="s">
        <v>1818</v>
      </c>
      <c r="K555" t="s">
        <v>2359</v>
      </c>
      <c r="M555" t="s">
        <v>2666</v>
      </c>
      <c r="N555" t="s">
        <v>2727</v>
      </c>
      <c r="O555" t="s">
        <v>2728</v>
      </c>
      <c r="P555">
        <v>0</v>
      </c>
      <c r="Q555">
        <v>0</v>
      </c>
      <c r="R555" t="s">
        <v>2730</v>
      </c>
      <c r="S555" t="s">
        <v>2732</v>
      </c>
      <c r="T555" t="s">
        <v>2757</v>
      </c>
      <c r="U555" t="s">
        <v>3359</v>
      </c>
      <c r="W555" t="s">
        <v>3585</v>
      </c>
      <c r="X555" t="s">
        <v>2729</v>
      </c>
    </row>
    <row r="556" spans="1:24">
      <c r="A556">
        <f>HYPERLINK("https://www.philgeps.gov.ph/GEPSNONPILOT/Tender/SplashBidNoticeAbstractUI.aspx?menuIndex=3&amp;refID=7064868&amp;Result=3","7064868")</f>
        <v>0</v>
      </c>
      <c r="B556" t="s">
        <v>178</v>
      </c>
      <c r="C556" t="s">
        <v>874</v>
      </c>
      <c r="D556" t="s">
        <v>1004</v>
      </c>
      <c r="E556" t="s">
        <v>1596</v>
      </c>
      <c r="F556" t="s">
        <v>1712</v>
      </c>
      <c r="G556" t="s">
        <v>1716</v>
      </c>
      <c r="H556" t="s">
        <v>1722</v>
      </c>
      <c r="I556" t="s">
        <v>1727</v>
      </c>
      <c r="J556" t="s">
        <v>2266</v>
      </c>
      <c r="K556" t="s">
        <v>2358</v>
      </c>
      <c r="M556" t="s">
        <v>2569</v>
      </c>
      <c r="N556" t="s">
        <v>2727</v>
      </c>
      <c r="O556" t="s">
        <v>2728</v>
      </c>
      <c r="P556">
        <v>0</v>
      </c>
      <c r="Q556">
        <v>0</v>
      </c>
      <c r="R556" t="s">
        <v>2730</v>
      </c>
      <c r="S556" t="s">
        <v>2732</v>
      </c>
      <c r="T556" t="s">
        <v>2771</v>
      </c>
      <c r="U556" t="s">
        <v>3360</v>
      </c>
      <c r="W556" t="s">
        <v>2569</v>
      </c>
      <c r="X556" t="s">
        <v>2729</v>
      </c>
    </row>
    <row r="557" spans="1:24">
      <c r="A557">
        <f>HYPERLINK("https://www.philgeps.gov.ph/GEPSNONPILOT/Tender/SplashBidNoticeAbstractUI.aspx?menuIndex=3&amp;refID=7064886&amp;Result=3","7064886")</f>
        <v>0</v>
      </c>
      <c r="B557" t="s">
        <v>206</v>
      </c>
      <c r="C557" t="s">
        <v>875</v>
      </c>
      <c r="E557" t="s">
        <v>1597</v>
      </c>
      <c r="F557" t="s">
        <v>1712</v>
      </c>
      <c r="G557" t="s">
        <v>1717</v>
      </c>
      <c r="H557" t="s">
        <v>1722</v>
      </c>
      <c r="I557" t="s">
        <v>1768</v>
      </c>
      <c r="J557" t="s">
        <v>2267</v>
      </c>
      <c r="K557" t="s">
        <v>2371</v>
      </c>
      <c r="M557" t="s">
        <v>2597</v>
      </c>
      <c r="N557" t="s">
        <v>2727</v>
      </c>
      <c r="O557" t="s">
        <v>2728</v>
      </c>
      <c r="P557">
        <v>0</v>
      </c>
      <c r="Q557">
        <v>0</v>
      </c>
      <c r="R557" t="s">
        <v>2730</v>
      </c>
      <c r="S557" t="s">
        <v>2732</v>
      </c>
      <c r="T557" t="s">
        <v>2741</v>
      </c>
      <c r="U557" t="s">
        <v>3361</v>
      </c>
      <c r="W557" t="s">
        <v>2597</v>
      </c>
      <c r="X557" t="s">
        <v>2729</v>
      </c>
    </row>
    <row r="558" spans="1:24">
      <c r="A558">
        <f>HYPERLINK("https://www.philgeps.gov.ph/GEPSNONPILOT/Tender/SplashBidNoticeAbstractUI.aspx?menuIndex=3&amp;refID=7064888&amp;Result=3","7064888")</f>
        <v>0</v>
      </c>
      <c r="B558" t="s">
        <v>275</v>
      </c>
      <c r="C558" t="s">
        <v>876</v>
      </c>
      <c r="D558" t="s">
        <v>1020</v>
      </c>
      <c r="E558" t="s">
        <v>1598</v>
      </c>
      <c r="F558" t="s">
        <v>1712</v>
      </c>
      <c r="G558" t="s">
        <v>1717</v>
      </c>
      <c r="H558" t="s">
        <v>1722</v>
      </c>
      <c r="I558" t="s">
        <v>1744</v>
      </c>
      <c r="J558" t="s">
        <v>2201</v>
      </c>
      <c r="K558" t="s">
        <v>2359</v>
      </c>
      <c r="M558" t="s">
        <v>2667</v>
      </c>
      <c r="N558" t="s">
        <v>2727</v>
      </c>
      <c r="O558" t="s">
        <v>2728</v>
      </c>
      <c r="P558">
        <v>0</v>
      </c>
      <c r="Q558">
        <v>0</v>
      </c>
      <c r="R558" t="s">
        <v>2730</v>
      </c>
      <c r="S558" t="s">
        <v>2732</v>
      </c>
      <c r="T558" t="s">
        <v>2787</v>
      </c>
      <c r="U558" t="s">
        <v>3362</v>
      </c>
      <c r="W558" t="s">
        <v>2667</v>
      </c>
      <c r="X558" t="s">
        <v>2729</v>
      </c>
    </row>
    <row r="559" spans="1:24">
      <c r="A559">
        <f>HYPERLINK("https://www.philgeps.gov.ph/GEPSNONPILOT/Tender/SplashBidNoticeAbstractUI.aspx?menuIndex=3&amp;refID=7064883&amp;Result=3","7064883")</f>
        <v>0</v>
      </c>
      <c r="B559" t="s">
        <v>276</v>
      </c>
      <c r="C559" t="s">
        <v>877</v>
      </c>
      <c r="D559" t="s">
        <v>1041</v>
      </c>
      <c r="E559" t="s">
        <v>1599</v>
      </c>
      <c r="F559" t="s">
        <v>1712</v>
      </c>
      <c r="G559" t="s">
        <v>1718</v>
      </c>
      <c r="H559" t="s">
        <v>1722</v>
      </c>
      <c r="I559" t="s">
        <v>1772</v>
      </c>
      <c r="J559" t="s">
        <v>2268</v>
      </c>
      <c r="K559" t="s">
        <v>2359</v>
      </c>
      <c r="L559" t="s">
        <v>276</v>
      </c>
      <c r="M559" t="s">
        <v>2668</v>
      </c>
      <c r="N559" t="s">
        <v>2727</v>
      </c>
      <c r="O559" t="s">
        <v>2728</v>
      </c>
      <c r="P559">
        <v>0</v>
      </c>
      <c r="Q559">
        <v>0</v>
      </c>
      <c r="R559" t="s">
        <v>2730</v>
      </c>
      <c r="S559" t="s">
        <v>2732</v>
      </c>
      <c r="T559" t="s">
        <v>2844</v>
      </c>
      <c r="U559" t="s">
        <v>3363</v>
      </c>
      <c r="V559" t="s">
        <v>3557</v>
      </c>
      <c r="W559" t="s">
        <v>2668</v>
      </c>
      <c r="X559" t="s">
        <v>2729</v>
      </c>
    </row>
    <row r="560" spans="1:24">
      <c r="A560">
        <f>HYPERLINK("https://www.philgeps.gov.ph/GEPSNONPILOT/Tender/SplashBidNoticeAbstractUI.aspx?menuIndex=3&amp;refID=7064882&amp;Result=3","7064882")</f>
        <v>0</v>
      </c>
      <c r="B560" t="s">
        <v>277</v>
      </c>
      <c r="C560" t="s">
        <v>878</v>
      </c>
      <c r="D560" t="s">
        <v>1012</v>
      </c>
      <c r="E560" t="s">
        <v>1600</v>
      </c>
      <c r="F560" t="s">
        <v>1712</v>
      </c>
      <c r="G560" t="s">
        <v>1716</v>
      </c>
      <c r="H560" t="s">
        <v>1722</v>
      </c>
      <c r="I560" t="s">
        <v>1727</v>
      </c>
      <c r="J560" t="s">
        <v>2269</v>
      </c>
      <c r="K560" t="s">
        <v>2359</v>
      </c>
      <c r="M560" t="s">
        <v>2669</v>
      </c>
      <c r="N560" t="s">
        <v>2727</v>
      </c>
      <c r="O560" t="s">
        <v>2728</v>
      </c>
      <c r="P560">
        <v>0</v>
      </c>
      <c r="Q560">
        <v>0</v>
      </c>
      <c r="R560" t="s">
        <v>2730</v>
      </c>
      <c r="S560" t="s">
        <v>2732</v>
      </c>
      <c r="T560" t="s">
        <v>2798</v>
      </c>
      <c r="U560" t="s">
        <v>3364</v>
      </c>
      <c r="W560" t="s">
        <v>2669</v>
      </c>
      <c r="X560" t="s">
        <v>2729</v>
      </c>
    </row>
    <row r="561" spans="1:24">
      <c r="A561">
        <f>HYPERLINK("https://www.philgeps.gov.ph/GEPSNONPILOT/Tender/SplashBidNoticeAbstractUI.aspx?menuIndex=3&amp;refID=7064889&amp;Result=3","7064889")</f>
        <v>0</v>
      </c>
      <c r="B561" t="s">
        <v>278</v>
      </c>
      <c r="C561" t="s">
        <v>879</v>
      </c>
      <c r="D561" t="s">
        <v>1034</v>
      </c>
      <c r="E561" t="s">
        <v>1601</v>
      </c>
      <c r="F561" t="s">
        <v>1712</v>
      </c>
      <c r="G561" t="s">
        <v>1716</v>
      </c>
      <c r="H561" t="s">
        <v>1722</v>
      </c>
      <c r="I561" t="s">
        <v>1775</v>
      </c>
      <c r="J561" t="s">
        <v>2270</v>
      </c>
      <c r="K561" t="s">
        <v>2367</v>
      </c>
      <c r="M561" t="s">
        <v>2670</v>
      </c>
      <c r="N561" t="s">
        <v>2727</v>
      </c>
      <c r="O561" t="s">
        <v>2728</v>
      </c>
      <c r="P561">
        <v>0</v>
      </c>
      <c r="Q561">
        <v>0</v>
      </c>
      <c r="R561" t="s">
        <v>2730</v>
      </c>
      <c r="S561" t="s">
        <v>2732</v>
      </c>
      <c r="T561" t="s">
        <v>2799</v>
      </c>
      <c r="U561" t="s">
        <v>3365</v>
      </c>
      <c r="W561" t="s">
        <v>2670</v>
      </c>
      <c r="X561" t="s">
        <v>2729</v>
      </c>
    </row>
    <row r="562" spans="1:24">
      <c r="A562">
        <f>HYPERLINK("https://www.philgeps.gov.ph/GEPSNONPILOT/Tender/SplashBidNoticeAbstractUI.aspx?menuIndex=3&amp;refID=7064885&amp;Result=3","7064885")</f>
        <v>0</v>
      </c>
      <c r="B562" t="s">
        <v>279</v>
      </c>
      <c r="C562" t="s">
        <v>880</v>
      </c>
      <c r="D562" t="s">
        <v>1014</v>
      </c>
      <c r="E562" t="s">
        <v>1602</v>
      </c>
      <c r="F562" t="s">
        <v>1712</v>
      </c>
      <c r="G562" t="s">
        <v>1717</v>
      </c>
      <c r="H562" t="s">
        <v>1722</v>
      </c>
      <c r="I562" t="s">
        <v>1739</v>
      </c>
      <c r="J562" t="s">
        <v>1847</v>
      </c>
      <c r="K562" t="s">
        <v>2367</v>
      </c>
      <c r="M562" t="s">
        <v>2671</v>
      </c>
      <c r="N562" t="s">
        <v>2727</v>
      </c>
      <c r="O562" t="s">
        <v>2728</v>
      </c>
      <c r="P562">
        <v>0</v>
      </c>
      <c r="Q562">
        <v>0</v>
      </c>
      <c r="R562" t="s">
        <v>2730</v>
      </c>
      <c r="S562" t="s">
        <v>2732</v>
      </c>
      <c r="T562" t="s">
        <v>2817</v>
      </c>
      <c r="U562" t="s">
        <v>3366</v>
      </c>
      <c r="V562" t="s">
        <v>3558</v>
      </c>
      <c r="W562" t="s">
        <v>2671</v>
      </c>
      <c r="X562" t="s">
        <v>2729</v>
      </c>
    </row>
    <row r="563" spans="1:24">
      <c r="A563">
        <f>HYPERLINK("https://www.philgeps.gov.ph/GEPSNONPILOT/Tender/SplashBidNoticeAbstractUI.aspx?menuIndex=3&amp;refID=7064910&amp;Result=3","7064910")</f>
        <v>0</v>
      </c>
      <c r="B563" t="s">
        <v>168</v>
      </c>
      <c r="C563" t="s">
        <v>881</v>
      </c>
      <c r="D563" t="s">
        <v>1048</v>
      </c>
      <c r="E563" t="s">
        <v>1603</v>
      </c>
      <c r="F563" t="s">
        <v>1712</v>
      </c>
      <c r="G563" t="s">
        <v>1717</v>
      </c>
      <c r="H563" t="s">
        <v>1722</v>
      </c>
      <c r="I563" t="s">
        <v>1737</v>
      </c>
      <c r="J563" t="s">
        <v>2271</v>
      </c>
      <c r="K563" t="s">
        <v>2366</v>
      </c>
      <c r="M563" t="s">
        <v>2559</v>
      </c>
      <c r="N563" t="s">
        <v>2727</v>
      </c>
      <c r="O563" t="s">
        <v>2728</v>
      </c>
      <c r="P563">
        <v>0</v>
      </c>
      <c r="Q563">
        <v>0</v>
      </c>
      <c r="R563" t="s">
        <v>2730</v>
      </c>
      <c r="S563" t="s">
        <v>2732</v>
      </c>
      <c r="T563" t="s">
        <v>2819</v>
      </c>
      <c r="U563" t="s">
        <v>3367</v>
      </c>
      <c r="W563" t="s">
        <v>3580</v>
      </c>
      <c r="X563" t="s">
        <v>2729</v>
      </c>
    </row>
    <row r="564" spans="1:24">
      <c r="A564">
        <f>HYPERLINK("https://www.philgeps.gov.ph/GEPSNONPILOT/Tender/SplashBidNoticeAbstractUI.aspx?menuIndex=3&amp;refID=7064898&amp;Result=3","7064898")</f>
        <v>0</v>
      </c>
      <c r="B564" t="s">
        <v>280</v>
      </c>
      <c r="C564" t="s">
        <v>882</v>
      </c>
      <c r="D564" t="s">
        <v>1052</v>
      </c>
      <c r="E564" t="s">
        <v>1604</v>
      </c>
      <c r="F564" t="s">
        <v>1712</v>
      </c>
      <c r="G564" t="s">
        <v>1718</v>
      </c>
      <c r="H564" t="s">
        <v>1722</v>
      </c>
      <c r="I564" t="s">
        <v>1727</v>
      </c>
      <c r="J564" t="s">
        <v>2272</v>
      </c>
      <c r="K564" t="s">
        <v>2367</v>
      </c>
      <c r="M564" t="s">
        <v>2672</v>
      </c>
      <c r="N564" t="s">
        <v>2727</v>
      </c>
      <c r="O564" t="s">
        <v>2728</v>
      </c>
      <c r="P564">
        <v>0</v>
      </c>
      <c r="Q564">
        <v>0</v>
      </c>
      <c r="R564" t="s">
        <v>2730</v>
      </c>
      <c r="S564" t="s">
        <v>2732</v>
      </c>
      <c r="T564" t="s">
        <v>2845</v>
      </c>
      <c r="U564" t="s">
        <v>3368</v>
      </c>
      <c r="W564" t="s">
        <v>2672</v>
      </c>
      <c r="X564" t="s">
        <v>2729</v>
      </c>
    </row>
    <row r="565" spans="1:24">
      <c r="A565">
        <f>HYPERLINK("https://www.philgeps.gov.ph/GEPSNONPILOT/Tender/SplashBidNoticeAbstractUI.aspx?menuIndex=3&amp;refID=7064897&amp;Result=3","7064897")</f>
        <v>0</v>
      </c>
      <c r="B565" t="s">
        <v>233</v>
      </c>
      <c r="C565" t="s">
        <v>883</v>
      </c>
      <c r="D565" t="s">
        <v>1007</v>
      </c>
      <c r="E565" t="s">
        <v>1605</v>
      </c>
      <c r="F565" t="s">
        <v>1712</v>
      </c>
      <c r="G565" t="s">
        <v>1719</v>
      </c>
      <c r="H565" t="s">
        <v>1722</v>
      </c>
      <c r="I565" t="s">
        <v>1732</v>
      </c>
      <c r="J565" t="s">
        <v>2273</v>
      </c>
      <c r="K565" t="s">
        <v>2359</v>
      </c>
      <c r="M565" t="s">
        <v>2624</v>
      </c>
      <c r="N565" t="s">
        <v>2727</v>
      </c>
      <c r="O565" t="s">
        <v>2728</v>
      </c>
      <c r="P565">
        <v>0</v>
      </c>
      <c r="Q565">
        <v>0</v>
      </c>
      <c r="R565" t="s">
        <v>2730</v>
      </c>
      <c r="S565" t="s">
        <v>2732</v>
      </c>
      <c r="T565" t="s">
        <v>2803</v>
      </c>
      <c r="U565" t="s">
        <v>3369</v>
      </c>
      <c r="W565" t="s">
        <v>2624</v>
      </c>
      <c r="X565" t="s">
        <v>2729</v>
      </c>
    </row>
    <row r="566" spans="1:24">
      <c r="A566">
        <f>HYPERLINK("https://www.philgeps.gov.ph/GEPSNONPILOT/Tender/SplashBidNoticeAbstractUI.aspx?menuIndex=3&amp;refID=7064902&amp;Result=3","7064902")</f>
        <v>0</v>
      </c>
      <c r="B566" t="s">
        <v>281</v>
      </c>
      <c r="C566" t="s">
        <v>884</v>
      </c>
      <c r="D566" t="s">
        <v>1023</v>
      </c>
      <c r="E566" t="s">
        <v>1606</v>
      </c>
      <c r="F566" t="s">
        <v>1712</v>
      </c>
      <c r="G566" t="s">
        <v>1717</v>
      </c>
      <c r="H566" t="s">
        <v>1722</v>
      </c>
      <c r="I566" t="s">
        <v>1742</v>
      </c>
      <c r="J566" t="s">
        <v>2274</v>
      </c>
      <c r="K566" t="s">
        <v>2358</v>
      </c>
      <c r="M566" t="s">
        <v>2673</v>
      </c>
      <c r="N566" t="s">
        <v>2727</v>
      </c>
      <c r="O566" t="s">
        <v>2728</v>
      </c>
      <c r="P566">
        <v>0</v>
      </c>
      <c r="Q566">
        <v>0</v>
      </c>
      <c r="R566" t="s">
        <v>2730</v>
      </c>
      <c r="S566" t="s">
        <v>2732</v>
      </c>
      <c r="T566" t="s">
        <v>2746</v>
      </c>
      <c r="U566" t="s">
        <v>3370</v>
      </c>
      <c r="W566" t="s">
        <v>2673</v>
      </c>
      <c r="X566" t="s">
        <v>2729</v>
      </c>
    </row>
    <row r="567" spans="1:24">
      <c r="A567">
        <f>HYPERLINK("https://www.philgeps.gov.ph/GEPSNONPILOT/Tender/SplashBidNoticeAbstractUI.aspx?menuIndex=3&amp;refID=7064903&amp;Result=3","7064903")</f>
        <v>0</v>
      </c>
      <c r="B567" t="s">
        <v>225</v>
      </c>
      <c r="C567" t="s">
        <v>885</v>
      </c>
      <c r="E567" t="s">
        <v>1607</v>
      </c>
      <c r="F567" t="s">
        <v>1712</v>
      </c>
      <c r="G567" t="s">
        <v>1716</v>
      </c>
      <c r="H567" t="s">
        <v>1722</v>
      </c>
      <c r="I567" t="s">
        <v>1795</v>
      </c>
      <c r="J567" t="s">
        <v>2275</v>
      </c>
      <c r="K567" t="s">
        <v>2367</v>
      </c>
      <c r="M567" t="s">
        <v>2616</v>
      </c>
      <c r="N567" t="s">
        <v>2727</v>
      </c>
      <c r="O567" t="s">
        <v>2728</v>
      </c>
      <c r="P567">
        <v>0</v>
      </c>
      <c r="Q567">
        <v>0</v>
      </c>
      <c r="R567" t="s">
        <v>2730</v>
      </c>
      <c r="S567" t="s">
        <v>2732</v>
      </c>
      <c r="T567" t="s">
        <v>2762</v>
      </c>
      <c r="U567" t="s">
        <v>3371</v>
      </c>
      <c r="V567" t="s">
        <v>3559</v>
      </c>
      <c r="W567" t="s">
        <v>2616</v>
      </c>
      <c r="X567" t="s">
        <v>2729</v>
      </c>
    </row>
    <row r="568" spans="1:24">
      <c r="A568">
        <f>HYPERLINK("https://www.philgeps.gov.ph/GEPSNONPILOT/Tender/SplashBidNoticeAbstractUI.aspx?menuIndex=3&amp;refID=7064891&amp;Result=3","7064891")</f>
        <v>0</v>
      </c>
      <c r="B568" t="s">
        <v>282</v>
      </c>
      <c r="C568" t="s">
        <v>886</v>
      </c>
      <c r="D568" t="s">
        <v>1060</v>
      </c>
      <c r="E568" t="s">
        <v>1608</v>
      </c>
      <c r="F568" t="s">
        <v>1712</v>
      </c>
      <c r="G568" t="s">
        <v>1717</v>
      </c>
      <c r="H568" t="s">
        <v>1722</v>
      </c>
      <c r="I568" t="s">
        <v>1746</v>
      </c>
      <c r="J568" t="s">
        <v>2276</v>
      </c>
      <c r="K568" t="s">
        <v>2360</v>
      </c>
      <c r="M568" t="s">
        <v>2674</v>
      </c>
      <c r="N568" t="s">
        <v>2727</v>
      </c>
      <c r="O568" t="s">
        <v>2728</v>
      </c>
      <c r="P568">
        <v>0</v>
      </c>
      <c r="Q568">
        <v>0</v>
      </c>
      <c r="R568" t="s">
        <v>2730</v>
      </c>
      <c r="S568" t="s">
        <v>2732</v>
      </c>
      <c r="T568" t="s">
        <v>2749</v>
      </c>
      <c r="U568" t="s">
        <v>3372</v>
      </c>
      <c r="W568" t="s">
        <v>2674</v>
      </c>
      <c r="X568" t="s">
        <v>2729</v>
      </c>
    </row>
    <row r="569" spans="1:24">
      <c r="A569">
        <f>HYPERLINK("https://www.philgeps.gov.ph/GEPSNONPILOT/Tender/SplashBidNoticeAbstractUI.aspx?menuIndex=3&amp;refID=7064896&amp;Result=3","7064896")</f>
        <v>0</v>
      </c>
      <c r="B569" t="s">
        <v>219</v>
      </c>
      <c r="C569" t="s">
        <v>887</v>
      </c>
      <c r="D569" t="s">
        <v>999</v>
      </c>
      <c r="E569" t="s">
        <v>1609</v>
      </c>
      <c r="F569" t="s">
        <v>1712</v>
      </c>
      <c r="G569" t="s">
        <v>1716</v>
      </c>
      <c r="H569" t="s">
        <v>1722</v>
      </c>
      <c r="I569" t="s">
        <v>1727</v>
      </c>
      <c r="J569" t="s">
        <v>2277</v>
      </c>
      <c r="K569" t="s">
        <v>2401</v>
      </c>
      <c r="M569" t="s">
        <v>2610</v>
      </c>
      <c r="N569" t="s">
        <v>2727</v>
      </c>
      <c r="O569" t="s">
        <v>2728</v>
      </c>
      <c r="P569">
        <v>0</v>
      </c>
      <c r="Q569">
        <v>0</v>
      </c>
      <c r="R569" t="s">
        <v>2730</v>
      </c>
      <c r="S569" t="s">
        <v>2732</v>
      </c>
      <c r="T569" t="s">
        <v>2832</v>
      </c>
      <c r="U569" t="s">
        <v>3373</v>
      </c>
      <c r="V569" t="s">
        <v>3544</v>
      </c>
      <c r="W569" t="s">
        <v>2610</v>
      </c>
      <c r="X569" t="s">
        <v>2729</v>
      </c>
    </row>
    <row r="570" spans="1:24">
      <c r="A570">
        <f>HYPERLINK("https://www.philgeps.gov.ph/GEPSNONPILOT/Tender/SplashBidNoticeAbstractUI.aspx?menuIndex=3&amp;refID=7064890&amp;Result=3","7064890")</f>
        <v>0</v>
      </c>
      <c r="B570" t="s">
        <v>211</v>
      </c>
      <c r="C570" t="s">
        <v>888</v>
      </c>
      <c r="D570" t="s">
        <v>995</v>
      </c>
      <c r="E570" t="s">
        <v>1610</v>
      </c>
      <c r="F570" t="s">
        <v>1712</v>
      </c>
      <c r="G570" t="s">
        <v>1719</v>
      </c>
      <c r="H570" t="s">
        <v>1722</v>
      </c>
      <c r="I570" t="s">
        <v>1773</v>
      </c>
      <c r="J570" t="s">
        <v>2278</v>
      </c>
      <c r="K570" t="s">
        <v>2366</v>
      </c>
      <c r="M570" t="s">
        <v>2602</v>
      </c>
      <c r="N570" t="s">
        <v>2727</v>
      </c>
      <c r="O570" t="s">
        <v>2728</v>
      </c>
      <c r="P570">
        <v>0</v>
      </c>
      <c r="Q570">
        <v>0</v>
      </c>
      <c r="R570" t="s">
        <v>2730</v>
      </c>
      <c r="S570" t="s">
        <v>2732</v>
      </c>
      <c r="T570" t="s">
        <v>2828</v>
      </c>
      <c r="U570" t="s">
        <v>3374</v>
      </c>
      <c r="W570" t="s">
        <v>2602</v>
      </c>
      <c r="X570" t="s">
        <v>2729</v>
      </c>
    </row>
    <row r="571" spans="1:24">
      <c r="A571">
        <f>HYPERLINK("https://www.philgeps.gov.ph/GEPSNONPILOT/Tender/SplashBidNoticeAbstractUI.aspx?menuIndex=3&amp;refID=7064909&amp;Result=3","7064909")</f>
        <v>0</v>
      </c>
      <c r="B571" t="s">
        <v>283</v>
      </c>
      <c r="C571" t="s">
        <v>889</v>
      </c>
      <c r="D571" t="s">
        <v>1000</v>
      </c>
      <c r="E571" t="s">
        <v>1611</v>
      </c>
      <c r="F571" t="s">
        <v>1712</v>
      </c>
      <c r="G571" t="s">
        <v>1717</v>
      </c>
      <c r="H571" t="s">
        <v>1722</v>
      </c>
      <c r="I571" t="s">
        <v>1758</v>
      </c>
      <c r="J571" t="s">
        <v>2279</v>
      </c>
      <c r="K571" t="s">
        <v>2359</v>
      </c>
      <c r="M571" t="s">
        <v>2675</v>
      </c>
      <c r="N571" t="s">
        <v>2727</v>
      </c>
      <c r="O571" t="s">
        <v>2728</v>
      </c>
      <c r="P571">
        <v>0</v>
      </c>
      <c r="Q571">
        <v>0</v>
      </c>
      <c r="R571" t="s">
        <v>2730</v>
      </c>
      <c r="S571" t="s">
        <v>2732</v>
      </c>
      <c r="T571" t="s">
        <v>2781</v>
      </c>
      <c r="U571" t="s">
        <v>3375</v>
      </c>
      <c r="W571" t="s">
        <v>2675</v>
      </c>
      <c r="X571" t="s">
        <v>2729</v>
      </c>
    </row>
    <row r="572" spans="1:24">
      <c r="A572">
        <f>HYPERLINK("https://www.philgeps.gov.ph/GEPSNONPILOT/Tender/SplashBidNoticeAbstractUI.aspx?menuIndex=3&amp;refID=7064916&amp;Result=3","7064916")</f>
        <v>0</v>
      </c>
      <c r="B572" t="s">
        <v>284</v>
      </c>
      <c r="C572" t="s">
        <v>890</v>
      </c>
      <c r="D572" t="s">
        <v>1002</v>
      </c>
      <c r="E572" t="s">
        <v>1612</v>
      </c>
      <c r="F572" t="s">
        <v>1712</v>
      </c>
      <c r="G572" t="s">
        <v>1716</v>
      </c>
      <c r="H572" t="s">
        <v>1722</v>
      </c>
      <c r="I572" t="s">
        <v>1768</v>
      </c>
      <c r="J572" t="s">
        <v>2280</v>
      </c>
      <c r="K572" t="s">
        <v>2366</v>
      </c>
      <c r="L572" t="s">
        <v>284</v>
      </c>
      <c r="M572" t="s">
        <v>2676</v>
      </c>
      <c r="N572" t="s">
        <v>2727</v>
      </c>
      <c r="O572" t="s">
        <v>2728</v>
      </c>
      <c r="P572">
        <v>0</v>
      </c>
      <c r="Q572">
        <v>0</v>
      </c>
      <c r="R572" t="s">
        <v>2730</v>
      </c>
      <c r="S572" t="s">
        <v>2732</v>
      </c>
      <c r="T572" t="s">
        <v>2752</v>
      </c>
      <c r="U572" t="s">
        <v>3376</v>
      </c>
      <c r="V572" t="s">
        <v>3560</v>
      </c>
      <c r="W572" t="s">
        <v>2676</v>
      </c>
      <c r="X572" t="s">
        <v>2729</v>
      </c>
    </row>
    <row r="573" spans="1:24">
      <c r="A573">
        <f>HYPERLINK("https://www.philgeps.gov.ph/GEPSNONPILOT/Tender/SplashBidNoticeAbstractUI.aspx?menuIndex=3&amp;refID=7064905&amp;Result=3","7064905")</f>
        <v>0</v>
      </c>
      <c r="B573" t="s">
        <v>232</v>
      </c>
      <c r="C573" t="s">
        <v>891</v>
      </c>
      <c r="D573" t="s">
        <v>1048</v>
      </c>
      <c r="E573" t="s">
        <v>1613</v>
      </c>
      <c r="F573" t="s">
        <v>1712</v>
      </c>
      <c r="G573" t="s">
        <v>1719</v>
      </c>
      <c r="H573" t="s">
        <v>1722</v>
      </c>
      <c r="I573" t="s">
        <v>1792</v>
      </c>
      <c r="J573" t="s">
        <v>2281</v>
      </c>
      <c r="K573" t="s">
        <v>2366</v>
      </c>
      <c r="M573" t="s">
        <v>2623</v>
      </c>
      <c r="N573" t="s">
        <v>2727</v>
      </c>
      <c r="O573" t="s">
        <v>2728</v>
      </c>
      <c r="P573">
        <v>0</v>
      </c>
      <c r="Q573">
        <v>0</v>
      </c>
      <c r="R573" t="s">
        <v>2730</v>
      </c>
      <c r="S573" t="s">
        <v>2732</v>
      </c>
      <c r="T573" t="s">
        <v>2787</v>
      </c>
      <c r="U573" t="s">
        <v>3377</v>
      </c>
      <c r="W573" t="s">
        <v>2623</v>
      </c>
      <c r="X573" t="s">
        <v>2729</v>
      </c>
    </row>
    <row r="574" spans="1:24">
      <c r="A574">
        <f>HYPERLINK("https://www.philgeps.gov.ph/GEPSNONPILOT/Tender/SplashBidNoticeAbstractUI.aspx?menuIndex=3&amp;refID=7064892&amp;Result=3","7064892")</f>
        <v>0</v>
      </c>
      <c r="B574" t="s">
        <v>178</v>
      </c>
      <c r="C574" t="s">
        <v>892</v>
      </c>
      <c r="D574" t="s">
        <v>1004</v>
      </c>
      <c r="E574" t="s">
        <v>1614</v>
      </c>
      <c r="F574" t="s">
        <v>1712</v>
      </c>
      <c r="G574" t="s">
        <v>1716</v>
      </c>
      <c r="H574" t="s">
        <v>1722</v>
      </c>
      <c r="I574" t="s">
        <v>1727</v>
      </c>
      <c r="J574" t="s">
        <v>2282</v>
      </c>
      <c r="K574" t="s">
        <v>2358</v>
      </c>
      <c r="M574" t="s">
        <v>2569</v>
      </c>
      <c r="N574" t="s">
        <v>2727</v>
      </c>
      <c r="O574" t="s">
        <v>2728</v>
      </c>
      <c r="P574">
        <v>0</v>
      </c>
      <c r="Q574">
        <v>0</v>
      </c>
      <c r="R574" t="s">
        <v>2730</v>
      </c>
      <c r="S574" t="s">
        <v>2732</v>
      </c>
      <c r="T574" t="s">
        <v>2771</v>
      </c>
      <c r="U574" t="s">
        <v>3378</v>
      </c>
      <c r="W574" t="s">
        <v>2569</v>
      </c>
      <c r="X574" t="s">
        <v>2729</v>
      </c>
    </row>
    <row r="575" spans="1:24">
      <c r="A575">
        <f>HYPERLINK("https://www.philgeps.gov.ph/GEPSNONPILOT/Tender/SplashBidNoticeAbstractUI.aspx?menuIndex=3&amp;refID=7064912&amp;Result=3","7064912")</f>
        <v>0</v>
      </c>
      <c r="B575" t="s">
        <v>282</v>
      </c>
      <c r="C575" t="s">
        <v>893</v>
      </c>
      <c r="D575" t="s">
        <v>1060</v>
      </c>
      <c r="E575" t="s">
        <v>1615</v>
      </c>
      <c r="F575" t="s">
        <v>1712</v>
      </c>
      <c r="G575" t="s">
        <v>1717</v>
      </c>
      <c r="H575" t="s">
        <v>1722</v>
      </c>
      <c r="I575" t="s">
        <v>1737</v>
      </c>
      <c r="J575" t="s">
        <v>2283</v>
      </c>
      <c r="K575" t="s">
        <v>2360</v>
      </c>
      <c r="M575" t="s">
        <v>2674</v>
      </c>
      <c r="N575" t="s">
        <v>2727</v>
      </c>
      <c r="O575" t="s">
        <v>2728</v>
      </c>
      <c r="P575">
        <v>0</v>
      </c>
      <c r="Q575">
        <v>0</v>
      </c>
      <c r="R575" t="s">
        <v>2730</v>
      </c>
      <c r="S575" t="s">
        <v>2732</v>
      </c>
      <c r="T575" t="s">
        <v>2749</v>
      </c>
      <c r="U575" t="s">
        <v>3379</v>
      </c>
      <c r="W575" t="s">
        <v>2674</v>
      </c>
      <c r="X575" t="s">
        <v>2729</v>
      </c>
    </row>
    <row r="576" spans="1:24">
      <c r="A576">
        <f>HYPERLINK("https://www.philgeps.gov.ph/GEPSNONPILOT/Tender/SplashBidNoticeAbstractUI.aspx?menuIndex=3&amp;refID=7064915&amp;Result=3","7064915")</f>
        <v>0</v>
      </c>
      <c r="B576" t="s">
        <v>202</v>
      </c>
      <c r="C576" t="s">
        <v>894</v>
      </c>
      <c r="D576" t="s">
        <v>1014</v>
      </c>
      <c r="E576" t="s">
        <v>1616</v>
      </c>
      <c r="F576" t="s">
        <v>1712</v>
      </c>
      <c r="G576" t="s">
        <v>1717</v>
      </c>
      <c r="H576" t="s">
        <v>1722</v>
      </c>
      <c r="I576" t="s">
        <v>1771</v>
      </c>
      <c r="J576" t="s">
        <v>2092</v>
      </c>
      <c r="K576" t="s">
        <v>2359</v>
      </c>
      <c r="M576" t="s">
        <v>2593</v>
      </c>
      <c r="N576" t="s">
        <v>2727</v>
      </c>
      <c r="O576" t="s">
        <v>2728</v>
      </c>
      <c r="P576">
        <v>0</v>
      </c>
      <c r="Q576">
        <v>0</v>
      </c>
      <c r="R576" t="s">
        <v>2730</v>
      </c>
      <c r="S576" t="s">
        <v>2732</v>
      </c>
      <c r="T576" t="s">
        <v>2778</v>
      </c>
      <c r="U576" t="s">
        <v>3380</v>
      </c>
      <c r="V576" t="s">
        <v>3539</v>
      </c>
      <c r="W576" t="s">
        <v>2593</v>
      </c>
      <c r="X576" t="s">
        <v>2729</v>
      </c>
    </row>
    <row r="577" spans="1:24">
      <c r="A577">
        <f>HYPERLINK("https://www.philgeps.gov.ph/GEPSNONPILOT/Tender/SplashBidNoticeAbstractUI.aspx?menuIndex=3&amp;refID=7064908&amp;Result=3","7064908")</f>
        <v>0</v>
      </c>
      <c r="B577" t="s">
        <v>269</v>
      </c>
      <c r="C577" t="s">
        <v>895</v>
      </c>
      <c r="D577" t="s">
        <v>999</v>
      </c>
      <c r="E577" t="s">
        <v>1617</v>
      </c>
      <c r="F577" t="s">
        <v>1712</v>
      </c>
      <c r="G577" t="s">
        <v>1717</v>
      </c>
      <c r="H577" t="s">
        <v>1722</v>
      </c>
      <c r="I577" t="s">
        <v>1796</v>
      </c>
      <c r="J577" t="s">
        <v>2284</v>
      </c>
      <c r="K577" t="s">
        <v>2371</v>
      </c>
      <c r="M577" t="s">
        <v>2661</v>
      </c>
      <c r="N577" t="s">
        <v>2727</v>
      </c>
      <c r="O577" t="s">
        <v>2728</v>
      </c>
      <c r="P577">
        <v>0</v>
      </c>
      <c r="Q577">
        <v>0</v>
      </c>
      <c r="R577" t="s">
        <v>2730</v>
      </c>
      <c r="S577" t="s">
        <v>2732</v>
      </c>
      <c r="T577" t="s">
        <v>2749</v>
      </c>
      <c r="U577" t="s">
        <v>3381</v>
      </c>
      <c r="V577" t="s">
        <v>3555</v>
      </c>
      <c r="W577" t="s">
        <v>2661</v>
      </c>
      <c r="X577" t="s">
        <v>2729</v>
      </c>
    </row>
    <row r="578" spans="1:24">
      <c r="A578">
        <f>HYPERLINK("https://www.philgeps.gov.ph/GEPSNONPILOT/Tender/SplashBidNoticeAbstractUI.aspx?menuIndex=3&amp;refID=7064914&amp;Result=3","7064914")</f>
        <v>0</v>
      </c>
      <c r="B578" t="s">
        <v>211</v>
      </c>
      <c r="C578" t="s">
        <v>896</v>
      </c>
      <c r="D578" t="s">
        <v>995</v>
      </c>
      <c r="E578" t="s">
        <v>1618</v>
      </c>
      <c r="F578" t="s">
        <v>1712</v>
      </c>
      <c r="G578" t="s">
        <v>1719</v>
      </c>
      <c r="H578" t="s">
        <v>1722</v>
      </c>
      <c r="I578" t="s">
        <v>1773</v>
      </c>
      <c r="J578" t="s">
        <v>2285</v>
      </c>
      <c r="K578" t="s">
        <v>2366</v>
      </c>
      <c r="M578" t="s">
        <v>2602</v>
      </c>
      <c r="N578" t="s">
        <v>2727</v>
      </c>
      <c r="O578" t="s">
        <v>2728</v>
      </c>
      <c r="P578">
        <v>0</v>
      </c>
      <c r="Q578">
        <v>0</v>
      </c>
      <c r="R578" t="s">
        <v>2730</v>
      </c>
      <c r="S578" t="s">
        <v>2732</v>
      </c>
      <c r="T578" t="s">
        <v>2828</v>
      </c>
      <c r="U578" t="s">
        <v>3382</v>
      </c>
      <c r="W578" t="s">
        <v>2602</v>
      </c>
      <c r="X578" t="s">
        <v>2729</v>
      </c>
    </row>
    <row r="579" spans="1:24">
      <c r="A579">
        <f>HYPERLINK("https://www.philgeps.gov.ph/GEPSNONPILOT/Tender/SplashBidNoticeAbstractUI.aspx?menuIndex=3&amp;refID=7064913&amp;Result=3","7064913")</f>
        <v>0</v>
      </c>
      <c r="B579" t="s">
        <v>249</v>
      </c>
      <c r="C579" t="s">
        <v>897</v>
      </c>
      <c r="D579" t="s">
        <v>1006</v>
      </c>
      <c r="E579" t="s">
        <v>1619</v>
      </c>
      <c r="F579" t="s">
        <v>1712</v>
      </c>
      <c r="G579" t="s">
        <v>1717</v>
      </c>
      <c r="H579" t="s">
        <v>1722</v>
      </c>
      <c r="I579" t="s">
        <v>1730</v>
      </c>
      <c r="J579" t="s">
        <v>2286</v>
      </c>
      <c r="K579" t="s">
        <v>2367</v>
      </c>
      <c r="M579" t="s">
        <v>2640</v>
      </c>
      <c r="N579" t="s">
        <v>2727</v>
      </c>
      <c r="O579" t="s">
        <v>2728</v>
      </c>
      <c r="P579">
        <v>0</v>
      </c>
      <c r="Q579">
        <v>0</v>
      </c>
      <c r="R579" t="s">
        <v>2730</v>
      </c>
      <c r="S579" t="s">
        <v>2732</v>
      </c>
      <c r="T579" t="s">
        <v>2810</v>
      </c>
      <c r="U579" t="s">
        <v>3383</v>
      </c>
      <c r="W579" t="s">
        <v>2640</v>
      </c>
      <c r="X579" t="s">
        <v>2729</v>
      </c>
    </row>
    <row r="580" spans="1:24">
      <c r="A580">
        <f>HYPERLINK("https://www.philgeps.gov.ph/GEPSNONPILOT/Tender/SplashBidNoticeAbstractUI.aspx?menuIndex=3&amp;refID=7064904&amp;Result=3","7064904")</f>
        <v>0</v>
      </c>
      <c r="B580" t="s">
        <v>285</v>
      </c>
      <c r="C580" t="s">
        <v>898</v>
      </c>
      <c r="D580" t="s">
        <v>1019</v>
      </c>
      <c r="E580" t="s">
        <v>1620</v>
      </c>
      <c r="F580" t="s">
        <v>1712</v>
      </c>
      <c r="G580" t="s">
        <v>1716</v>
      </c>
      <c r="H580" t="s">
        <v>1723</v>
      </c>
      <c r="I580" t="s">
        <v>1729</v>
      </c>
      <c r="J580" t="s">
        <v>1808</v>
      </c>
      <c r="K580" t="s">
        <v>2389</v>
      </c>
      <c r="M580" t="s">
        <v>2677</v>
      </c>
      <c r="N580" t="s">
        <v>2727</v>
      </c>
      <c r="O580" t="s">
        <v>2728</v>
      </c>
      <c r="P580">
        <v>0</v>
      </c>
      <c r="Q580">
        <v>0</v>
      </c>
      <c r="R580" t="s">
        <v>2730</v>
      </c>
      <c r="S580" t="s">
        <v>2732</v>
      </c>
      <c r="T580" t="s">
        <v>2846</v>
      </c>
      <c r="U580" t="s">
        <v>3384</v>
      </c>
      <c r="W580" t="s">
        <v>2677</v>
      </c>
      <c r="X580" t="s">
        <v>2729</v>
      </c>
    </row>
    <row r="581" spans="1:24">
      <c r="A581">
        <f>HYPERLINK("https://www.philgeps.gov.ph/GEPSNONPILOT/Tender/SplashBidNoticeAbstractUI.aspx?menuIndex=3&amp;refID=7064911&amp;Result=3","7064911")</f>
        <v>0</v>
      </c>
      <c r="B581" t="s">
        <v>286</v>
      </c>
      <c r="C581" t="s">
        <v>899</v>
      </c>
      <c r="E581" t="s">
        <v>1621</v>
      </c>
      <c r="F581" t="s">
        <v>1713</v>
      </c>
      <c r="G581" t="s">
        <v>1718</v>
      </c>
      <c r="H581" t="s">
        <v>1722</v>
      </c>
      <c r="I581" t="s">
        <v>1732</v>
      </c>
      <c r="J581" t="s">
        <v>2287</v>
      </c>
      <c r="K581" t="s">
        <v>2367</v>
      </c>
      <c r="M581" t="s">
        <v>2678</v>
      </c>
      <c r="N581" t="s">
        <v>2727</v>
      </c>
      <c r="O581" t="s">
        <v>2728</v>
      </c>
      <c r="P581">
        <v>0</v>
      </c>
      <c r="Q581">
        <v>0</v>
      </c>
      <c r="R581" t="s">
        <v>2730</v>
      </c>
      <c r="S581" t="s">
        <v>2732</v>
      </c>
      <c r="T581" t="s">
        <v>2841</v>
      </c>
      <c r="U581" t="s">
        <v>3385</v>
      </c>
      <c r="W581" t="s">
        <v>2678</v>
      </c>
      <c r="X581" t="s">
        <v>2729</v>
      </c>
    </row>
    <row r="582" spans="1:24">
      <c r="A582">
        <f>HYPERLINK("https://www.philgeps.gov.ph/GEPSNONPILOT/Tender/SplashBidNoticeAbstractUI.aspx?menuIndex=3&amp;refID=7064917&amp;Result=3","7064917")</f>
        <v>0</v>
      </c>
      <c r="B582" t="s">
        <v>287</v>
      </c>
      <c r="C582" t="s">
        <v>900</v>
      </c>
      <c r="D582" t="s">
        <v>1003</v>
      </c>
      <c r="E582" t="s">
        <v>1622</v>
      </c>
      <c r="F582" t="s">
        <v>1712</v>
      </c>
      <c r="G582" t="s">
        <v>1717</v>
      </c>
      <c r="H582" t="s">
        <v>1722</v>
      </c>
      <c r="I582" t="s">
        <v>1727</v>
      </c>
      <c r="J582" t="s">
        <v>2288</v>
      </c>
      <c r="K582" t="s">
        <v>2372</v>
      </c>
      <c r="M582" t="s">
        <v>2679</v>
      </c>
      <c r="N582" t="s">
        <v>2727</v>
      </c>
      <c r="O582" t="s">
        <v>2728</v>
      </c>
      <c r="P582">
        <v>0</v>
      </c>
      <c r="Q582">
        <v>0</v>
      </c>
      <c r="R582" t="s">
        <v>2730</v>
      </c>
      <c r="S582" t="s">
        <v>2732</v>
      </c>
      <c r="T582" t="s">
        <v>2791</v>
      </c>
      <c r="U582" t="s">
        <v>3386</v>
      </c>
      <c r="W582" t="s">
        <v>2679</v>
      </c>
      <c r="X582" t="s">
        <v>2729</v>
      </c>
    </row>
    <row r="583" spans="1:24">
      <c r="A583">
        <f>HYPERLINK("https://www.philgeps.gov.ph/GEPSNONPILOT/Tender/SplashBidNoticeAbstractUI.aspx?menuIndex=3&amp;refID=7064919&amp;Result=3","7064919")</f>
        <v>0</v>
      </c>
      <c r="B583" t="s">
        <v>288</v>
      </c>
      <c r="C583" t="s">
        <v>901</v>
      </c>
      <c r="D583" t="s">
        <v>1046</v>
      </c>
      <c r="E583" t="s">
        <v>1448</v>
      </c>
      <c r="F583" t="s">
        <v>1712</v>
      </c>
      <c r="G583" t="s">
        <v>1717</v>
      </c>
      <c r="H583" t="s">
        <v>1722</v>
      </c>
      <c r="I583" t="s">
        <v>1793</v>
      </c>
      <c r="J583" t="s">
        <v>1867</v>
      </c>
      <c r="K583" t="s">
        <v>2366</v>
      </c>
      <c r="M583" t="s">
        <v>2680</v>
      </c>
      <c r="N583" t="s">
        <v>2727</v>
      </c>
      <c r="O583" t="s">
        <v>2728</v>
      </c>
      <c r="P583">
        <v>0</v>
      </c>
      <c r="Q583">
        <v>0</v>
      </c>
      <c r="R583" t="s">
        <v>2730</v>
      </c>
      <c r="S583" t="s">
        <v>2732</v>
      </c>
      <c r="T583" t="s">
        <v>2740</v>
      </c>
      <c r="U583" t="s">
        <v>3387</v>
      </c>
      <c r="W583" t="s">
        <v>2680</v>
      </c>
      <c r="X583" t="s">
        <v>2729</v>
      </c>
    </row>
    <row r="584" spans="1:24">
      <c r="A584">
        <f>HYPERLINK("https://www.philgeps.gov.ph/GEPSNONPILOT/Tender/SplashBidNoticeAbstractUI.aspx?menuIndex=3&amp;refID=7064930&amp;Result=3","7064930")</f>
        <v>0</v>
      </c>
      <c r="B584" t="s">
        <v>282</v>
      </c>
      <c r="C584" t="s">
        <v>902</v>
      </c>
      <c r="D584" t="s">
        <v>1060</v>
      </c>
      <c r="E584" t="s">
        <v>1623</v>
      </c>
      <c r="F584" t="s">
        <v>1712</v>
      </c>
      <c r="G584" t="s">
        <v>1717</v>
      </c>
      <c r="H584" t="s">
        <v>1722</v>
      </c>
      <c r="I584" t="s">
        <v>1737</v>
      </c>
      <c r="J584" t="s">
        <v>2289</v>
      </c>
      <c r="K584" t="s">
        <v>2360</v>
      </c>
      <c r="M584" t="s">
        <v>2674</v>
      </c>
      <c r="N584" t="s">
        <v>2727</v>
      </c>
      <c r="O584" t="s">
        <v>2728</v>
      </c>
      <c r="P584">
        <v>0</v>
      </c>
      <c r="Q584">
        <v>0</v>
      </c>
      <c r="R584" t="s">
        <v>2730</v>
      </c>
      <c r="S584" t="s">
        <v>2732</v>
      </c>
      <c r="T584" t="s">
        <v>2749</v>
      </c>
      <c r="U584" t="s">
        <v>3388</v>
      </c>
      <c r="W584" t="s">
        <v>2674</v>
      </c>
      <c r="X584" t="s">
        <v>2729</v>
      </c>
    </row>
    <row r="585" spans="1:24">
      <c r="A585">
        <f>HYPERLINK("https://www.philgeps.gov.ph/GEPSNONPILOT/Tender/SplashBidNoticeAbstractUI.aspx?menuIndex=3&amp;refID=7064918&amp;Result=3","7064918")</f>
        <v>0</v>
      </c>
      <c r="B585" t="s">
        <v>280</v>
      </c>
      <c r="C585" t="s">
        <v>903</v>
      </c>
      <c r="D585" t="s">
        <v>1052</v>
      </c>
      <c r="E585" t="s">
        <v>1624</v>
      </c>
      <c r="F585" t="s">
        <v>1712</v>
      </c>
      <c r="G585" t="s">
        <v>1718</v>
      </c>
      <c r="H585" t="s">
        <v>1722</v>
      </c>
      <c r="I585" t="s">
        <v>1727</v>
      </c>
      <c r="J585" t="s">
        <v>2290</v>
      </c>
      <c r="K585" t="s">
        <v>2367</v>
      </c>
      <c r="M585" t="s">
        <v>2672</v>
      </c>
      <c r="N585" t="s">
        <v>2727</v>
      </c>
      <c r="O585" t="s">
        <v>2728</v>
      </c>
      <c r="P585">
        <v>0</v>
      </c>
      <c r="Q585">
        <v>0</v>
      </c>
      <c r="R585" t="s">
        <v>2730</v>
      </c>
      <c r="S585" t="s">
        <v>2732</v>
      </c>
      <c r="T585" t="s">
        <v>2845</v>
      </c>
      <c r="U585" t="s">
        <v>3389</v>
      </c>
      <c r="W585" t="s">
        <v>2672</v>
      </c>
      <c r="X585" t="s">
        <v>2729</v>
      </c>
    </row>
    <row r="586" spans="1:24">
      <c r="A586">
        <f>HYPERLINK("https://www.philgeps.gov.ph/GEPSNONPILOT/Tender/SplashBidNoticeAbstractUI.aspx?menuIndex=3&amp;refID=7064925&amp;Result=3","7064925")</f>
        <v>0</v>
      </c>
      <c r="B586" t="s">
        <v>289</v>
      </c>
      <c r="C586" t="s">
        <v>904</v>
      </c>
      <c r="D586" t="s">
        <v>997</v>
      </c>
      <c r="E586" t="s">
        <v>1625</v>
      </c>
      <c r="F586" t="s">
        <v>1712</v>
      </c>
      <c r="G586" t="s">
        <v>1717</v>
      </c>
      <c r="H586" t="s">
        <v>1722</v>
      </c>
      <c r="I586" t="s">
        <v>1727</v>
      </c>
      <c r="J586" t="s">
        <v>2291</v>
      </c>
      <c r="K586" t="s">
        <v>2366</v>
      </c>
      <c r="M586" t="s">
        <v>2681</v>
      </c>
      <c r="N586" t="s">
        <v>2727</v>
      </c>
      <c r="O586" t="s">
        <v>2728</v>
      </c>
      <c r="P586">
        <v>0</v>
      </c>
      <c r="Q586">
        <v>0</v>
      </c>
      <c r="R586" t="s">
        <v>2730</v>
      </c>
      <c r="S586" t="s">
        <v>2732</v>
      </c>
      <c r="T586" t="s">
        <v>2813</v>
      </c>
      <c r="U586" t="s">
        <v>3390</v>
      </c>
      <c r="W586" t="s">
        <v>2681</v>
      </c>
      <c r="X586" t="s">
        <v>2729</v>
      </c>
    </row>
    <row r="587" spans="1:24">
      <c r="A587">
        <f>HYPERLINK("https://www.philgeps.gov.ph/GEPSNONPILOT/Tender/SplashBidNoticeAbstractUI.aspx?menuIndex=3&amp;refID=7064936&amp;Result=3","7064936")</f>
        <v>0</v>
      </c>
      <c r="B587" t="s">
        <v>290</v>
      </c>
      <c r="C587" t="s">
        <v>905</v>
      </c>
      <c r="D587" t="s">
        <v>1046</v>
      </c>
      <c r="E587" t="s">
        <v>1626</v>
      </c>
      <c r="F587" t="s">
        <v>1712</v>
      </c>
      <c r="G587" t="s">
        <v>1716</v>
      </c>
      <c r="H587" t="s">
        <v>1722</v>
      </c>
      <c r="I587" t="s">
        <v>1726</v>
      </c>
      <c r="J587" t="s">
        <v>1955</v>
      </c>
      <c r="K587" t="s">
        <v>2366</v>
      </c>
      <c r="M587" t="s">
        <v>2682</v>
      </c>
      <c r="N587" t="s">
        <v>2727</v>
      </c>
      <c r="O587" t="s">
        <v>2728</v>
      </c>
      <c r="P587">
        <v>0</v>
      </c>
      <c r="Q587">
        <v>2</v>
      </c>
      <c r="R587" t="s">
        <v>2730</v>
      </c>
      <c r="S587" t="s">
        <v>2732</v>
      </c>
      <c r="T587" t="s">
        <v>2847</v>
      </c>
      <c r="U587" t="s">
        <v>3391</v>
      </c>
      <c r="W587" t="s">
        <v>2682</v>
      </c>
      <c r="X587" t="s">
        <v>2729</v>
      </c>
    </row>
    <row r="588" spans="1:24">
      <c r="A588">
        <f>HYPERLINK("https://www.philgeps.gov.ph/GEPSNONPILOT/Tender/SplashBidNoticeAbstractUI.aspx?menuIndex=3&amp;refID=7064927&amp;Result=3","7064927")</f>
        <v>0</v>
      </c>
      <c r="B588" t="s">
        <v>65</v>
      </c>
      <c r="C588" t="s">
        <v>906</v>
      </c>
      <c r="D588" t="s">
        <v>1019</v>
      </c>
      <c r="E588" t="s">
        <v>1627</v>
      </c>
      <c r="F588" t="s">
        <v>1712</v>
      </c>
      <c r="G588" t="s">
        <v>1718</v>
      </c>
      <c r="H588" t="s">
        <v>1722</v>
      </c>
      <c r="I588" t="s">
        <v>1727</v>
      </c>
      <c r="J588" t="s">
        <v>2292</v>
      </c>
      <c r="K588" t="s">
        <v>2371</v>
      </c>
      <c r="M588" t="s">
        <v>2455</v>
      </c>
      <c r="N588" t="s">
        <v>2727</v>
      </c>
      <c r="O588" t="s">
        <v>2728</v>
      </c>
      <c r="P588">
        <v>0</v>
      </c>
      <c r="Q588">
        <v>0</v>
      </c>
      <c r="R588" t="s">
        <v>2730</v>
      </c>
      <c r="S588" t="s">
        <v>2732</v>
      </c>
      <c r="T588" t="s">
        <v>2749</v>
      </c>
      <c r="U588" t="s">
        <v>3392</v>
      </c>
      <c r="W588" t="s">
        <v>2455</v>
      </c>
      <c r="X588" t="s">
        <v>2729</v>
      </c>
    </row>
    <row r="589" spans="1:24">
      <c r="A589">
        <f>HYPERLINK("https://www.philgeps.gov.ph/GEPSNONPILOT/Tender/SplashBidNoticeAbstractUI.aspx?menuIndex=3&amp;refID=7064924&amp;Result=3","7064924")</f>
        <v>0</v>
      </c>
      <c r="B589" t="s">
        <v>285</v>
      </c>
      <c r="C589" t="s">
        <v>907</v>
      </c>
      <c r="D589" t="s">
        <v>1019</v>
      </c>
      <c r="E589" t="s">
        <v>1628</v>
      </c>
      <c r="F589" t="s">
        <v>1712</v>
      </c>
      <c r="G589" t="s">
        <v>1716</v>
      </c>
      <c r="H589" t="s">
        <v>1723</v>
      </c>
      <c r="I589" t="s">
        <v>1729</v>
      </c>
      <c r="J589" t="s">
        <v>1808</v>
      </c>
      <c r="K589" t="s">
        <v>2388</v>
      </c>
      <c r="M589" t="s">
        <v>2677</v>
      </c>
      <c r="N589" t="s">
        <v>2727</v>
      </c>
      <c r="O589" t="s">
        <v>2728</v>
      </c>
      <c r="P589">
        <v>0</v>
      </c>
      <c r="Q589">
        <v>0</v>
      </c>
      <c r="R589" t="s">
        <v>2730</v>
      </c>
      <c r="S589" t="s">
        <v>2732</v>
      </c>
      <c r="T589" t="s">
        <v>2846</v>
      </c>
      <c r="U589" t="s">
        <v>3384</v>
      </c>
      <c r="W589" t="s">
        <v>2677</v>
      </c>
      <c r="X589" t="s">
        <v>2729</v>
      </c>
    </row>
    <row r="590" spans="1:24">
      <c r="A590">
        <f>HYPERLINK("https://www.philgeps.gov.ph/GEPSNONPILOT/Tender/SplashBidNoticeAbstractUI.aspx?menuIndex=3&amp;refID=7064931&amp;Result=3","7064931")</f>
        <v>0</v>
      </c>
      <c r="B590" t="s">
        <v>291</v>
      </c>
      <c r="C590" t="s">
        <v>908</v>
      </c>
      <c r="D590" t="s">
        <v>998</v>
      </c>
      <c r="E590" t="s">
        <v>1629</v>
      </c>
      <c r="F590" t="s">
        <v>1712</v>
      </c>
      <c r="G590" t="s">
        <v>1721</v>
      </c>
      <c r="H590" t="s">
        <v>1722</v>
      </c>
      <c r="I590" t="s">
        <v>1727</v>
      </c>
      <c r="J590" t="s">
        <v>2293</v>
      </c>
      <c r="K590" t="s">
        <v>2367</v>
      </c>
      <c r="M590" t="s">
        <v>2683</v>
      </c>
      <c r="N590" t="s">
        <v>2727</v>
      </c>
      <c r="O590" t="s">
        <v>2728</v>
      </c>
      <c r="P590">
        <v>0</v>
      </c>
      <c r="Q590">
        <v>0</v>
      </c>
      <c r="R590" t="s">
        <v>2730</v>
      </c>
      <c r="S590" t="s">
        <v>2732</v>
      </c>
      <c r="T590" t="s">
        <v>2774</v>
      </c>
      <c r="U590" t="s">
        <v>3393</v>
      </c>
      <c r="W590" t="s">
        <v>2683</v>
      </c>
      <c r="X590" t="s">
        <v>2729</v>
      </c>
    </row>
    <row r="591" spans="1:24">
      <c r="A591">
        <f>HYPERLINK("https://www.philgeps.gov.ph/GEPSNONPILOT/Tender/SplashBidNoticeAbstractUI.aspx?menuIndex=3&amp;refID=7064920&amp;Result=3","7064920")</f>
        <v>0</v>
      </c>
      <c r="B591" t="s">
        <v>292</v>
      </c>
      <c r="C591" t="s">
        <v>909</v>
      </c>
      <c r="D591" t="s">
        <v>1001</v>
      </c>
      <c r="E591" t="s">
        <v>1630</v>
      </c>
      <c r="F591" t="s">
        <v>1712</v>
      </c>
      <c r="G591" t="s">
        <v>1716</v>
      </c>
      <c r="H591" t="s">
        <v>1723</v>
      </c>
      <c r="I591" t="s">
        <v>1797</v>
      </c>
      <c r="J591" t="s">
        <v>2294</v>
      </c>
      <c r="K591" t="s">
        <v>2365</v>
      </c>
      <c r="M591" t="s">
        <v>2684</v>
      </c>
      <c r="N591" t="s">
        <v>2727</v>
      </c>
      <c r="O591" t="s">
        <v>2728</v>
      </c>
      <c r="P591">
        <v>0</v>
      </c>
      <c r="Q591">
        <v>0</v>
      </c>
      <c r="R591" t="s">
        <v>2730</v>
      </c>
      <c r="S591" t="s">
        <v>2732</v>
      </c>
      <c r="T591" t="s">
        <v>2777</v>
      </c>
      <c r="U591" t="s">
        <v>3394</v>
      </c>
      <c r="V591" t="s">
        <v>3561</v>
      </c>
      <c r="W591" t="s">
        <v>2684</v>
      </c>
      <c r="X591" t="s">
        <v>2729</v>
      </c>
    </row>
    <row r="592" spans="1:24">
      <c r="A592">
        <f>HYPERLINK("https://www.philgeps.gov.ph/GEPSNONPILOT/Tender/SplashBidNoticeAbstractUI.aspx?menuIndex=3&amp;refID=7064926&amp;Result=3","7064926")</f>
        <v>0</v>
      </c>
      <c r="B592" t="s">
        <v>293</v>
      </c>
      <c r="C592" t="s">
        <v>910</v>
      </c>
      <c r="D592" t="s">
        <v>1022</v>
      </c>
      <c r="E592" t="s">
        <v>1631</v>
      </c>
      <c r="F592" t="s">
        <v>1712</v>
      </c>
      <c r="G592" t="s">
        <v>1717</v>
      </c>
      <c r="H592" t="s">
        <v>1722</v>
      </c>
      <c r="I592" t="s">
        <v>1730</v>
      </c>
      <c r="J592" t="s">
        <v>1818</v>
      </c>
      <c r="K592" t="s">
        <v>2409</v>
      </c>
      <c r="M592" t="s">
        <v>2685</v>
      </c>
      <c r="N592" t="s">
        <v>2727</v>
      </c>
      <c r="O592" t="s">
        <v>2728</v>
      </c>
      <c r="P592">
        <v>0</v>
      </c>
      <c r="Q592">
        <v>0</v>
      </c>
      <c r="R592" t="s">
        <v>2730</v>
      </c>
      <c r="S592" t="s">
        <v>2732</v>
      </c>
      <c r="T592" t="s">
        <v>2763</v>
      </c>
      <c r="U592" t="s">
        <v>3395</v>
      </c>
      <c r="V592" t="s">
        <v>3562</v>
      </c>
      <c r="W592" t="s">
        <v>2685</v>
      </c>
      <c r="X592" t="s">
        <v>2729</v>
      </c>
    </row>
    <row r="593" spans="1:24">
      <c r="A593">
        <f>HYPERLINK("https://www.philgeps.gov.ph/GEPSNONPILOT/Tender/SplashBidNoticeAbstractUI.aspx?menuIndex=3&amp;refID=7064929&amp;Result=3","7064929")</f>
        <v>0</v>
      </c>
      <c r="B593" t="s">
        <v>294</v>
      </c>
      <c r="C593" t="s">
        <v>911</v>
      </c>
      <c r="D593" t="s">
        <v>995</v>
      </c>
      <c r="E593" t="s">
        <v>1632</v>
      </c>
      <c r="F593" t="s">
        <v>1712</v>
      </c>
      <c r="G593" t="s">
        <v>1717</v>
      </c>
      <c r="H593" t="s">
        <v>1722</v>
      </c>
      <c r="I593" t="s">
        <v>1798</v>
      </c>
      <c r="J593" t="s">
        <v>2295</v>
      </c>
      <c r="K593" t="s">
        <v>2359</v>
      </c>
      <c r="M593" t="s">
        <v>2686</v>
      </c>
      <c r="N593" t="s">
        <v>2727</v>
      </c>
      <c r="O593" t="s">
        <v>2728</v>
      </c>
      <c r="P593">
        <v>0</v>
      </c>
      <c r="Q593">
        <v>0</v>
      </c>
      <c r="R593" t="s">
        <v>2730</v>
      </c>
      <c r="S593" t="s">
        <v>2732</v>
      </c>
      <c r="T593" t="s">
        <v>2746</v>
      </c>
      <c r="U593" t="s">
        <v>3396</v>
      </c>
      <c r="W593" t="s">
        <v>2686</v>
      </c>
      <c r="X593" t="s">
        <v>2729</v>
      </c>
    </row>
    <row r="594" spans="1:24">
      <c r="A594">
        <f>HYPERLINK("https://www.philgeps.gov.ph/GEPSNONPILOT/Tender/SplashBidNoticeAbstractUI.aspx?menuIndex=3&amp;refID=7064921&amp;Result=3","7064921")</f>
        <v>0</v>
      </c>
      <c r="B594" t="s">
        <v>295</v>
      </c>
      <c r="C594" t="s">
        <v>912</v>
      </c>
      <c r="D594" t="s">
        <v>1030</v>
      </c>
      <c r="E594" t="s">
        <v>1633</v>
      </c>
      <c r="F594" t="s">
        <v>1712</v>
      </c>
      <c r="G594" t="s">
        <v>1718</v>
      </c>
      <c r="H594" t="s">
        <v>1722</v>
      </c>
      <c r="I594" t="s">
        <v>1799</v>
      </c>
      <c r="J594" t="s">
        <v>2296</v>
      </c>
      <c r="K594" t="s">
        <v>2367</v>
      </c>
      <c r="M594" t="s">
        <v>2687</v>
      </c>
      <c r="N594" t="s">
        <v>2727</v>
      </c>
      <c r="O594" t="s">
        <v>2728</v>
      </c>
      <c r="P594">
        <v>0</v>
      </c>
      <c r="Q594">
        <v>0</v>
      </c>
      <c r="R594" t="s">
        <v>2730</v>
      </c>
      <c r="S594" t="s">
        <v>2732</v>
      </c>
      <c r="T594" t="s">
        <v>2748</v>
      </c>
      <c r="U594" t="s">
        <v>3397</v>
      </c>
      <c r="W594" t="s">
        <v>2687</v>
      </c>
      <c r="X594" t="s">
        <v>2729</v>
      </c>
    </row>
    <row r="595" spans="1:24">
      <c r="A595">
        <f>HYPERLINK("https://www.philgeps.gov.ph/GEPSNONPILOT/Tender/SplashBidNoticeAbstractUI.aspx?menuIndex=3&amp;refID=7064947&amp;Result=3","7064947")</f>
        <v>0</v>
      </c>
      <c r="B595" t="s">
        <v>292</v>
      </c>
      <c r="C595" t="s">
        <v>913</v>
      </c>
      <c r="D595" t="s">
        <v>1001</v>
      </c>
      <c r="E595" t="s">
        <v>1634</v>
      </c>
      <c r="F595" t="s">
        <v>1712</v>
      </c>
      <c r="G595" t="s">
        <v>1716</v>
      </c>
      <c r="H595" t="s">
        <v>1722</v>
      </c>
      <c r="I595" t="s">
        <v>1800</v>
      </c>
      <c r="J595" t="s">
        <v>2297</v>
      </c>
      <c r="K595" t="s">
        <v>2374</v>
      </c>
      <c r="M595" t="s">
        <v>2684</v>
      </c>
      <c r="N595" t="s">
        <v>2727</v>
      </c>
      <c r="O595" t="s">
        <v>2728</v>
      </c>
      <c r="P595">
        <v>0</v>
      </c>
      <c r="Q595">
        <v>0</v>
      </c>
      <c r="R595" t="s">
        <v>2730</v>
      </c>
      <c r="S595" t="s">
        <v>2732</v>
      </c>
      <c r="T595" t="s">
        <v>2799</v>
      </c>
      <c r="U595" t="s">
        <v>3394</v>
      </c>
      <c r="V595" t="s">
        <v>3563</v>
      </c>
      <c r="W595" t="s">
        <v>2684</v>
      </c>
      <c r="X595" t="s">
        <v>2729</v>
      </c>
    </row>
    <row r="596" spans="1:24">
      <c r="A596">
        <f>HYPERLINK("https://www.philgeps.gov.ph/GEPSNONPILOT/Tender/SplashBidNoticeAbstractUI.aspx?menuIndex=3&amp;refID=7064945&amp;Result=3","7064945")</f>
        <v>0</v>
      </c>
      <c r="B596" t="s">
        <v>285</v>
      </c>
      <c r="C596" t="s">
        <v>914</v>
      </c>
      <c r="D596" t="s">
        <v>1019</v>
      </c>
      <c r="E596" t="s">
        <v>1635</v>
      </c>
      <c r="F596" t="s">
        <v>1712</v>
      </c>
      <c r="G596" t="s">
        <v>1716</v>
      </c>
      <c r="H596" t="s">
        <v>1723</v>
      </c>
      <c r="I596" t="s">
        <v>1729</v>
      </c>
      <c r="J596" t="s">
        <v>1808</v>
      </c>
      <c r="K596" t="s">
        <v>2388</v>
      </c>
      <c r="M596" t="s">
        <v>2677</v>
      </c>
      <c r="N596" t="s">
        <v>2727</v>
      </c>
      <c r="O596" t="s">
        <v>2728</v>
      </c>
      <c r="P596">
        <v>0</v>
      </c>
      <c r="Q596">
        <v>0</v>
      </c>
      <c r="R596" t="s">
        <v>2730</v>
      </c>
      <c r="S596" t="s">
        <v>2732</v>
      </c>
      <c r="T596" t="s">
        <v>2846</v>
      </c>
      <c r="U596" t="s">
        <v>3384</v>
      </c>
      <c r="W596" t="s">
        <v>2677</v>
      </c>
      <c r="X596" t="s">
        <v>2729</v>
      </c>
    </row>
    <row r="597" spans="1:24">
      <c r="A597">
        <f>HYPERLINK("https://www.philgeps.gov.ph/GEPSNONPILOT/Tender/SplashBidNoticeAbstractUI.aspx?menuIndex=3&amp;refID=7064946&amp;Result=3","7064946")</f>
        <v>0</v>
      </c>
      <c r="B597" t="s">
        <v>296</v>
      </c>
      <c r="C597" t="s">
        <v>915</v>
      </c>
      <c r="D597" t="s">
        <v>1041</v>
      </c>
      <c r="E597" t="s">
        <v>1636</v>
      </c>
      <c r="F597" t="s">
        <v>1712</v>
      </c>
      <c r="G597" t="s">
        <v>1716</v>
      </c>
      <c r="H597" t="s">
        <v>1725</v>
      </c>
      <c r="I597" t="s">
        <v>1760</v>
      </c>
      <c r="J597" t="s">
        <v>1857</v>
      </c>
      <c r="K597" t="s">
        <v>2358</v>
      </c>
      <c r="M597" t="s">
        <v>2688</v>
      </c>
      <c r="N597" t="s">
        <v>2727</v>
      </c>
      <c r="O597" t="s">
        <v>2728</v>
      </c>
      <c r="P597">
        <v>0</v>
      </c>
      <c r="Q597">
        <v>0</v>
      </c>
      <c r="R597" t="s">
        <v>2730</v>
      </c>
      <c r="S597" t="s">
        <v>2732</v>
      </c>
      <c r="T597" t="s">
        <v>2785</v>
      </c>
      <c r="U597" t="s">
        <v>3398</v>
      </c>
      <c r="V597" t="s">
        <v>3564</v>
      </c>
      <c r="W597" t="s">
        <v>2688</v>
      </c>
      <c r="X597" t="s">
        <v>2729</v>
      </c>
    </row>
    <row r="598" spans="1:24">
      <c r="A598">
        <f>HYPERLINK("https://www.philgeps.gov.ph/GEPSNONPILOT/Tender/SplashBidNoticeAbstractUI.aspx?menuIndex=3&amp;refID=7064937&amp;Result=3","7064937")</f>
        <v>0</v>
      </c>
      <c r="B598" t="s">
        <v>249</v>
      </c>
      <c r="C598" t="s">
        <v>916</v>
      </c>
      <c r="D598" t="s">
        <v>1006</v>
      </c>
      <c r="E598" t="s">
        <v>1637</v>
      </c>
      <c r="F598" t="s">
        <v>1712</v>
      </c>
      <c r="G598" t="s">
        <v>1717</v>
      </c>
      <c r="H598" t="s">
        <v>1722</v>
      </c>
      <c r="I598" t="s">
        <v>1730</v>
      </c>
      <c r="J598" t="s">
        <v>2298</v>
      </c>
      <c r="K598" t="s">
        <v>2367</v>
      </c>
      <c r="M598" t="s">
        <v>2640</v>
      </c>
      <c r="N598" t="s">
        <v>2727</v>
      </c>
      <c r="O598" t="s">
        <v>2728</v>
      </c>
      <c r="P598">
        <v>0</v>
      </c>
      <c r="Q598">
        <v>0</v>
      </c>
      <c r="R598" t="s">
        <v>2730</v>
      </c>
      <c r="S598" t="s">
        <v>2732</v>
      </c>
      <c r="T598" t="s">
        <v>2810</v>
      </c>
      <c r="U598" t="s">
        <v>3313</v>
      </c>
      <c r="W598" t="s">
        <v>2640</v>
      </c>
      <c r="X598" t="s">
        <v>2729</v>
      </c>
    </row>
    <row r="599" spans="1:24">
      <c r="A599">
        <f>HYPERLINK("https://www.philgeps.gov.ph/GEPSNONPILOT/Tender/SplashBidNoticeAbstractUI.aspx?menuIndex=3&amp;refID=7064938&amp;Result=3","7064938")</f>
        <v>0</v>
      </c>
      <c r="B599" t="s">
        <v>284</v>
      </c>
      <c r="C599" t="s">
        <v>917</v>
      </c>
      <c r="D599" t="s">
        <v>1002</v>
      </c>
      <c r="E599" t="s">
        <v>1638</v>
      </c>
      <c r="F599" t="s">
        <v>1712</v>
      </c>
      <c r="G599" t="s">
        <v>1716</v>
      </c>
      <c r="H599" t="s">
        <v>1725</v>
      </c>
      <c r="I599" t="s">
        <v>1791</v>
      </c>
      <c r="J599" t="s">
        <v>2299</v>
      </c>
      <c r="K599" t="s">
        <v>2409</v>
      </c>
      <c r="L599" t="s">
        <v>284</v>
      </c>
      <c r="M599" t="s">
        <v>2676</v>
      </c>
      <c r="N599" t="s">
        <v>2727</v>
      </c>
      <c r="O599" t="s">
        <v>2728</v>
      </c>
      <c r="P599">
        <v>0</v>
      </c>
      <c r="Q599">
        <v>0</v>
      </c>
      <c r="R599" t="s">
        <v>2730</v>
      </c>
      <c r="S599" t="s">
        <v>2732</v>
      </c>
      <c r="T599" t="s">
        <v>2752</v>
      </c>
      <c r="U599" t="s">
        <v>3399</v>
      </c>
      <c r="V599" t="s">
        <v>3560</v>
      </c>
      <c r="W599" t="s">
        <v>2676</v>
      </c>
      <c r="X599" t="s">
        <v>2729</v>
      </c>
    </row>
    <row r="600" spans="1:24">
      <c r="A600">
        <f>HYPERLINK("https://www.philgeps.gov.ph/GEPSNONPILOT/Tender/SplashBidNoticeAbstractUI.aspx?menuIndex=3&amp;refID=7064939&amp;Result=3","7064939")</f>
        <v>0</v>
      </c>
      <c r="B600" t="s">
        <v>263</v>
      </c>
      <c r="C600" t="s">
        <v>918</v>
      </c>
      <c r="D600" t="s">
        <v>1027</v>
      </c>
      <c r="E600" t="s">
        <v>1639</v>
      </c>
      <c r="F600" t="s">
        <v>1712</v>
      </c>
      <c r="G600" t="s">
        <v>1717</v>
      </c>
      <c r="H600" t="s">
        <v>1722</v>
      </c>
      <c r="I600" t="s">
        <v>1740</v>
      </c>
      <c r="J600" t="s">
        <v>2300</v>
      </c>
      <c r="K600" t="s">
        <v>2366</v>
      </c>
      <c r="M600" t="s">
        <v>2655</v>
      </c>
      <c r="N600" t="s">
        <v>2727</v>
      </c>
      <c r="O600" t="s">
        <v>2728</v>
      </c>
      <c r="P600">
        <v>0</v>
      </c>
      <c r="Q600">
        <v>0</v>
      </c>
      <c r="R600" t="s">
        <v>2730</v>
      </c>
      <c r="S600" t="s">
        <v>2732</v>
      </c>
      <c r="T600" t="s">
        <v>2733</v>
      </c>
      <c r="U600" t="s">
        <v>3400</v>
      </c>
      <c r="W600" t="s">
        <v>2655</v>
      </c>
      <c r="X600" t="s">
        <v>2729</v>
      </c>
    </row>
    <row r="601" spans="1:24">
      <c r="A601">
        <f>HYPERLINK("https://www.philgeps.gov.ph/GEPSNONPILOT/Tender/SplashBidNoticeAbstractUI.aspx?menuIndex=3&amp;refID=7064948&amp;Result=3","7064948")</f>
        <v>0</v>
      </c>
      <c r="B601" t="s">
        <v>297</v>
      </c>
      <c r="C601" t="s">
        <v>919</v>
      </c>
      <c r="D601" t="s">
        <v>1055</v>
      </c>
      <c r="E601" t="s">
        <v>1640</v>
      </c>
      <c r="F601" t="s">
        <v>1712</v>
      </c>
      <c r="G601" t="s">
        <v>1716</v>
      </c>
      <c r="H601" t="s">
        <v>1722</v>
      </c>
      <c r="I601" t="s">
        <v>1756</v>
      </c>
      <c r="J601" t="s">
        <v>2301</v>
      </c>
      <c r="K601" t="s">
        <v>2405</v>
      </c>
      <c r="M601" t="s">
        <v>2689</v>
      </c>
      <c r="N601" t="s">
        <v>2727</v>
      </c>
      <c r="O601" t="s">
        <v>2728</v>
      </c>
      <c r="P601">
        <v>0</v>
      </c>
      <c r="Q601">
        <v>0</v>
      </c>
      <c r="R601" t="s">
        <v>2730</v>
      </c>
      <c r="S601" t="s">
        <v>2732</v>
      </c>
      <c r="T601" t="s">
        <v>2777</v>
      </c>
      <c r="U601" t="s">
        <v>3401</v>
      </c>
      <c r="W601" t="s">
        <v>2689</v>
      </c>
      <c r="X601" t="s">
        <v>2729</v>
      </c>
    </row>
    <row r="602" spans="1:24">
      <c r="A602">
        <f>HYPERLINK("https://www.philgeps.gov.ph/GEPSNONPILOT/Tender/SplashBidNoticeAbstractUI.aspx?menuIndex=3&amp;refID=7064941&amp;Result=3","7064941")</f>
        <v>0</v>
      </c>
      <c r="B602" t="s">
        <v>298</v>
      </c>
      <c r="C602" t="s">
        <v>920</v>
      </c>
      <c r="D602" t="s">
        <v>1047</v>
      </c>
      <c r="E602" t="s">
        <v>1641</v>
      </c>
      <c r="F602" t="s">
        <v>1712</v>
      </c>
      <c r="G602" t="s">
        <v>1718</v>
      </c>
      <c r="H602" t="s">
        <v>1722</v>
      </c>
      <c r="I602" t="s">
        <v>1734</v>
      </c>
      <c r="J602" t="s">
        <v>2302</v>
      </c>
      <c r="K602" t="s">
        <v>2360</v>
      </c>
      <c r="M602" t="s">
        <v>2690</v>
      </c>
      <c r="N602" t="s">
        <v>2727</v>
      </c>
      <c r="O602" t="s">
        <v>2728</v>
      </c>
      <c r="P602">
        <v>0</v>
      </c>
      <c r="Q602">
        <v>0</v>
      </c>
      <c r="R602" t="s">
        <v>2730</v>
      </c>
      <c r="S602" t="s">
        <v>2732</v>
      </c>
      <c r="T602" t="s">
        <v>2786</v>
      </c>
      <c r="U602" t="s">
        <v>3402</v>
      </c>
      <c r="W602" t="s">
        <v>2690</v>
      </c>
      <c r="X602" t="s">
        <v>2729</v>
      </c>
    </row>
    <row r="603" spans="1:24">
      <c r="A603">
        <f>HYPERLINK("https://www.philgeps.gov.ph/GEPSNONPILOT/Tender/SplashBidNoticeAbstractUI.aspx?menuIndex=3&amp;refID=7064949&amp;Result=3","7064949")</f>
        <v>0</v>
      </c>
      <c r="B603" t="s">
        <v>269</v>
      </c>
      <c r="C603" t="s">
        <v>921</v>
      </c>
      <c r="D603" t="s">
        <v>999</v>
      </c>
      <c r="E603" t="s">
        <v>1642</v>
      </c>
      <c r="F603" t="s">
        <v>1712</v>
      </c>
      <c r="G603" t="s">
        <v>1717</v>
      </c>
      <c r="H603" t="s">
        <v>1722</v>
      </c>
      <c r="I603" t="s">
        <v>1801</v>
      </c>
      <c r="J603" t="s">
        <v>2303</v>
      </c>
      <c r="K603" t="s">
        <v>2371</v>
      </c>
      <c r="M603" t="s">
        <v>2661</v>
      </c>
      <c r="N603" t="s">
        <v>2727</v>
      </c>
      <c r="O603" t="s">
        <v>2728</v>
      </c>
      <c r="P603">
        <v>0</v>
      </c>
      <c r="Q603">
        <v>0</v>
      </c>
      <c r="R603" t="s">
        <v>2730</v>
      </c>
      <c r="S603" t="s">
        <v>2732</v>
      </c>
      <c r="T603" t="s">
        <v>2749</v>
      </c>
      <c r="U603" t="s">
        <v>3403</v>
      </c>
      <c r="V603" t="s">
        <v>3565</v>
      </c>
      <c r="W603" t="s">
        <v>2661</v>
      </c>
      <c r="X603" t="s">
        <v>2729</v>
      </c>
    </row>
    <row r="604" spans="1:24">
      <c r="A604">
        <f>HYPERLINK("https://www.philgeps.gov.ph/GEPSNONPILOT/Tender/SplashBidNoticeAbstractUI.aspx?menuIndex=3&amp;refID=7064954&amp;Result=3","7064954")</f>
        <v>0</v>
      </c>
      <c r="B604" t="s">
        <v>299</v>
      </c>
      <c r="C604" t="s">
        <v>922</v>
      </c>
      <c r="D604" t="s">
        <v>1009</v>
      </c>
      <c r="E604" t="s">
        <v>1643</v>
      </c>
      <c r="F604" t="s">
        <v>1712</v>
      </c>
      <c r="G604" t="s">
        <v>1717</v>
      </c>
      <c r="H604" t="s">
        <v>1722</v>
      </c>
      <c r="I604" t="s">
        <v>1731</v>
      </c>
      <c r="J604" t="s">
        <v>2304</v>
      </c>
      <c r="K604" t="s">
        <v>2359</v>
      </c>
      <c r="M604" t="s">
        <v>2691</v>
      </c>
      <c r="N604" t="s">
        <v>2727</v>
      </c>
      <c r="O604" t="s">
        <v>2728</v>
      </c>
      <c r="P604">
        <v>0</v>
      </c>
      <c r="Q604">
        <v>0</v>
      </c>
      <c r="R604" t="s">
        <v>2730</v>
      </c>
      <c r="S604" t="s">
        <v>2732</v>
      </c>
      <c r="T604" t="s">
        <v>2787</v>
      </c>
      <c r="U604" t="s">
        <v>3404</v>
      </c>
      <c r="W604" t="s">
        <v>2691</v>
      </c>
      <c r="X604" t="s">
        <v>2729</v>
      </c>
    </row>
    <row r="605" spans="1:24">
      <c r="A605">
        <f>HYPERLINK("https://www.philgeps.gov.ph/GEPSNONPILOT/Tender/SplashBidNoticeAbstractUI.aspx?menuIndex=3&amp;refID=7064969&amp;Result=3","7064969")</f>
        <v>0</v>
      </c>
      <c r="B605" t="s">
        <v>300</v>
      </c>
      <c r="C605" t="s">
        <v>923</v>
      </c>
      <c r="E605" t="s">
        <v>1644</v>
      </c>
      <c r="F605" t="s">
        <v>1712</v>
      </c>
      <c r="G605" t="s">
        <v>1717</v>
      </c>
      <c r="H605" t="s">
        <v>1722</v>
      </c>
      <c r="I605" t="s">
        <v>1765</v>
      </c>
      <c r="J605" t="s">
        <v>2305</v>
      </c>
      <c r="K605" t="s">
        <v>2367</v>
      </c>
      <c r="M605" t="s">
        <v>2692</v>
      </c>
      <c r="N605" t="s">
        <v>2727</v>
      </c>
      <c r="O605" t="s">
        <v>2728</v>
      </c>
      <c r="P605">
        <v>0</v>
      </c>
      <c r="Q605">
        <v>0</v>
      </c>
      <c r="R605" t="s">
        <v>2730</v>
      </c>
      <c r="S605" t="s">
        <v>2732</v>
      </c>
      <c r="T605" t="s">
        <v>2787</v>
      </c>
      <c r="U605" t="s">
        <v>3405</v>
      </c>
      <c r="W605" t="s">
        <v>2692</v>
      </c>
      <c r="X605" t="s">
        <v>2729</v>
      </c>
    </row>
    <row r="606" spans="1:24">
      <c r="A606">
        <f>HYPERLINK("https://www.philgeps.gov.ph/GEPSNONPILOT/Tender/SplashBidNoticeAbstractUI.aspx?menuIndex=3&amp;refID=7064964&amp;Result=3","7064964")</f>
        <v>0</v>
      </c>
      <c r="B606" t="s">
        <v>285</v>
      </c>
      <c r="C606" t="s">
        <v>924</v>
      </c>
      <c r="D606" t="s">
        <v>1019</v>
      </c>
      <c r="E606" t="s">
        <v>1645</v>
      </c>
      <c r="F606" t="s">
        <v>1712</v>
      </c>
      <c r="G606" t="s">
        <v>1716</v>
      </c>
      <c r="H606" t="s">
        <v>1723</v>
      </c>
      <c r="I606" t="s">
        <v>1729</v>
      </c>
      <c r="J606" t="s">
        <v>2306</v>
      </c>
      <c r="K606" t="s">
        <v>2366</v>
      </c>
      <c r="M606" t="s">
        <v>2677</v>
      </c>
      <c r="N606" t="s">
        <v>2727</v>
      </c>
      <c r="O606" t="s">
        <v>2728</v>
      </c>
      <c r="P606">
        <v>0</v>
      </c>
      <c r="Q606">
        <v>0</v>
      </c>
      <c r="R606" t="s">
        <v>2730</v>
      </c>
      <c r="S606" t="s">
        <v>2732</v>
      </c>
      <c r="T606" t="s">
        <v>2846</v>
      </c>
      <c r="U606" t="s">
        <v>3384</v>
      </c>
      <c r="W606" t="s">
        <v>2677</v>
      </c>
      <c r="X606" t="s">
        <v>2729</v>
      </c>
    </row>
    <row r="607" spans="1:24">
      <c r="A607">
        <f>HYPERLINK("https://www.philgeps.gov.ph/GEPSNONPILOT/Tender/SplashBidNoticeAbstractUI.aspx?menuIndex=3&amp;refID=7064950&amp;Result=3","7064950")</f>
        <v>0</v>
      </c>
      <c r="B607" t="s">
        <v>266</v>
      </c>
      <c r="C607" t="s">
        <v>925</v>
      </c>
      <c r="E607" t="s">
        <v>1646</v>
      </c>
      <c r="F607" t="s">
        <v>1712</v>
      </c>
      <c r="G607" t="s">
        <v>1716</v>
      </c>
      <c r="H607" t="s">
        <v>1722</v>
      </c>
      <c r="I607" t="s">
        <v>1727</v>
      </c>
      <c r="J607" t="s">
        <v>2307</v>
      </c>
      <c r="K607" t="s">
        <v>2359</v>
      </c>
      <c r="M607" t="s">
        <v>2658</v>
      </c>
      <c r="N607" t="s">
        <v>2727</v>
      </c>
      <c r="O607" t="s">
        <v>2728</v>
      </c>
      <c r="P607">
        <v>0</v>
      </c>
      <c r="Q607">
        <v>0</v>
      </c>
      <c r="R607" t="s">
        <v>2730</v>
      </c>
      <c r="S607" t="s">
        <v>2732</v>
      </c>
      <c r="T607" t="s">
        <v>2753</v>
      </c>
      <c r="U607" t="s">
        <v>3406</v>
      </c>
      <c r="W607" t="s">
        <v>2658</v>
      </c>
      <c r="X607" t="s">
        <v>2729</v>
      </c>
    </row>
    <row r="608" spans="1:24">
      <c r="A608">
        <f>HYPERLINK("https://www.philgeps.gov.ph/GEPSNONPILOT/Tender/SplashBidNoticeAbstractUI.aspx?menuIndex=3&amp;refID=7064968&amp;Result=3","7064968")</f>
        <v>0</v>
      </c>
      <c r="B608" t="s">
        <v>301</v>
      </c>
      <c r="C608" t="s">
        <v>926</v>
      </c>
      <c r="D608" t="s">
        <v>1052</v>
      </c>
      <c r="E608" t="s">
        <v>1647</v>
      </c>
      <c r="F608" t="s">
        <v>1712</v>
      </c>
      <c r="G608" t="s">
        <v>1716</v>
      </c>
      <c r="H608" t="s">
        <v>1725</v>
      </c>
      <c r="I608" t="s">
        <v>1726</v>
      </c>
      <c r="J608" t="s">
        <v>2308</v>
      </c>
      <c r="K608" t="s">
        <v>2370</v>
      </c>
      <c r="M608" t="s">
        <v>2693</v>
      </c>
      <c r="N608" t="s">
        <v>2727</v>
      </c>
      <c r="O608" t="s">
        <v>2728</v>
      </c>
      <c r="P608">
        <v>0</v>
      </c>
      <c r="Q608">
        <v>3</v>
      </c>
      <c r="R608" t="s">
        <v>2730</v>
      </c>
      <c r="S608" t="s">
        <v>2732</v>
      </c>
      <c r="T608" t="s">
        <v>2764</v>
      </c>
      <c r="U608" t="s">
        <v>3407</v>
      </c>
      <c r="V608" t="s">
        <v>3566</v>
      </c>
      <c r="W608" t="s">
        <v>2693</v>
      </c>
      <c r="X608" t="s">
        <v>2729</v>
      </c>
    </row>
    <row r="609" spans="1:24">
      <c r="A609">
        <f>HYPERLINK("https://www.philgeps.gov.ph/GEPSNONPILOT/Tender/SplashBidNoticeAbstractUI.aspx?menuIndex=3&amp;refID=7064959&amp;Result=3","7064959")</f>
        <v>0</v>
      </c>
      <c r="B609" t="s">
        <v>302</v>
      </c>
      <c r="C609" t="s">
        <v>927</v>
      </c>
      <c r="D609" t="s">
        <v>995</v>
      </c>
      <c r="E609" t="s">
        <v>1648</v>
      </c>
      <c r="F609" t="s">
        <v>1712</v>
      </c>
      <c r="G609" t="s">
        <v>1717</v>
      </c>
      <c r="H609" t="s">
        <v>1722</v>
      </c>
      <c r="I609" t="s">
        <v>1744</v>
      </c>
      <c r="J609" t="s">
        <v>2309</v>
      </c>
      <c r="K609" t="s">
        <v>2372</v>
      </c>
      <c r="M609" t="s">
        <v>2694</v>
      </c>
      <c r="N609" t="s">
        <v>2727</v>
      </c>
      <c r="O609" t="s">
        <v>2728</v>
      </c>
      <c r="P609">
        <v>0</v>
      </c>
      <c r="Q609">
        <v>0</v>
      </c>
      <c r="R609" t="s">
        <v>2730</v>
      </c>
      <c r="S609" t="s">
        <v>2732</v>
      </c>
      <c r="T609" t="s">
        <v>2811</v>
      </c>
      <c r="U609" t="s">
        <v>3408</v>
      </c>
      <c r="W609" t="s">
        <v>2694</v>
      </c>
      <c r="X609" t="s">
        <v>2729</v>
      </c>
    </row>
    <row r="610" spans="1:24">
      <c r="A610">
        <f>HYPERLINK("https://www.philgeps.gov.ph/GEPSNONPILOT/Tender/SplashBidNoticeAbstractUI.aspx?menuIndex=3&amp;refID=7064960&amp;Result=3","7064960")</f>
        <v>0</v>
      </c>
      <c r="B610" t="s">
        <v>169</v>
      </c>
      <c r="C610" t="s">
        <v>928</v>
      </c>
      <c r="D610" t="s">
        <v>1049</v>
      </c>
      <c r="E610" t="s">
        <v>1649</v>
      </c>
      <c r="F610" t="s">
        <v>1712</v>
      </c>
      <c r="G610" t="s">
        <v>1717</v>
      </c>
      <c r="H610" t="s">
        <v>1722</v>
      </c>
      <c r="I610" t="s">
        <v>1737</v>
      </c>
      <c r="J610" t="s">
        <v>1849</v>
      </c>
      <c r="K610" t="s">
        <v>2358</v>
      </c>
      <c r="M610" t="s">
        <v>2560</v>
      </c>
      <c r="N610" t="s">
        <v>2727</v>
      </c>
      <c r="O610" t="s">
        <v>2728</v>
      </c>
      <c r="P610">
        <v>0</v>
      </c>
      <c r="Q610">
        <v>0</v>
      </c>
      <c r="R610" t="s">
        <v>2730</v>
      </c>
      <c r="S610" t="s">
        <v>2732</v>
      </c>
      <c r="T610" t="s">
        <v>2757</v>
      </c>
      <c r="U610" t="s">
        <v>3409</v>
      </c>
      <c r="W610" t="s">
        <v>2560</v>
      </c>
      <c r="X610" t="s">
        <v>2729</v>
      </c>
    </row>
    <row r="611" spans="1:24">
      <c r="A611">
        <f>HYPERLINK("https://www.philgeps.gov.ph/GEPSNONPILOT/Tender/SplashBidNoticeAbstractUI.aspx?menuIndex=3&amp;refID=7064963&amp;Result=3","7064963")</f>
        <v>0</v>
      </c>
      <c r="B611" t="s">
        <v>303</v>
      </c>
      <c r="C611" t="s">
        <v>929</v>
      </c>
      <c r="D611" t="s">
        <v>1014</v>
      </c>
      <c r="E611" t="s">
        <v>1650</v>
      </c>
      <c r="F611" t="s">
        <v>1712</v>
      </c>
      <c r="G611" t="s">
        <v>1717</v>
      </c>
      <c r="H611" t="s">
        <v>1722</v>
      </c>
      <c r="I611" t="s">
        <v>1758</v>
      </c>
      <c r="J611" t="s">
        <v>2310</v>
      </c>
      <c r="K611" t="s">
        <v>2367</v>
      </c>
      <c r="M611" t="s">
        <v>2695</v>
      </c>
      <c r="N611" t="s">
        <v>2727</v>
      </c>
      <c r="O611" t="s">
        <v>2728</v>
      </c>
      <c r="P611">
        <v>0</v>
      </c>
      <c r="Q611">
        <v>0</v>
      </c>
      <c r="R611" t="s">
        <v>2730</v>
      </c>
      <c r="S611" t="s">
        <v>2732</v>
      </c>
      <c r="T611" t="s">
        <v>2778</v>
      </c>
      <c r="U611" t="s">
        <v>3410</v>
      </c>
      <c r="W611" t="s">
        <v>2695</v>
      </c>
      <c r="X611" t="s">
        <v>2729</v>
      </c>
    </row>
    <row r="612" spans="1:24">
      <c r="A612">
        <f>HYPERLINK("https://www.philgeps.gov.ph/GEPSNONPILOT/Tender/SplashBidNoticeAbstractUI.aspx?menuIndex=3&amp;refID=7064957&amp;Result=3","7064957")</f>
        <v>0</v>
      </c>
      <c r="B612" t="s">
        <v>304</v>
      </c>
      <c r="C612" t="s">
        <v>930</v>
      </c>
      <c r="E612" t="s">
        <v>1651</v>
      </c>
      <c r="F612" t="s">
        <v>1712</v>
      </c>
      <c r="G612" t="s">
        <v>1717</v>
      </c>
      <c r="H612" t="s">
        <v>1723</v>
      </c>
      <c r="I612" t="s">
        <v>1729</v>
      </c>
      <c r="J612" t="s">
        <v>2311</v>
      </c>
      <c r="K612" t="s">
        <v>2367</v>
      </c>
      <c r="M612" t="s">
        <v>2696</v>
      </c>
      <c r="N612" t="s">
        <v>2727</v>
      </c>
      <c r="O612" t="s">
        <v>2728</v>
      </c>
      <c r="P612">
        <v>0</v>
      </c>
      <c r="Q612">
        <v>0</v>
      </c>
      <c r="R612" t="s">
        <v>2730</v>
      </c>
      <c r="S612" t="s">
        <v>2732</v>
      </c>
      <c r="T612" t="s">
        <v>2749</v>
      </c>
      <c r="U612" t="s">
        <v>3411</v>
      </c>
      <c r="V612" t="s">
        <v>3567</v>
      </c>
      <c r="W612" t="s">
        <v>2696</v>
      </c>
      <c r="X612" t="s">
        <v>2729</v>
      </c>
    </row>
    <row r="613" spans="1:24">
      <c r="A613">
        <f>HYPERLINK("https://www.philgeps.gov.ph/GEPSNONPILOT/Tender/SplashBidNoticeAbstractUI.aspx?menuIndex=3&amp;refID=7064962&amp;Result=3","7064962")</f>
        <v>0</v>
      </c>
      <c r="B613" t="s">
        <v>305</v>
      </c>
      <c r="C613" t="s">
        <v>931</v>
      </c>
      <c r="E613" t="s">
        <v>1652</v>
      </c>
      <c r="F613" t="s">
        <v>1712</v>
      </c>
      <c r="G613" t="s">
        <v>1717</v>
      </c>
      <c r="H613" t="s">
        <v>1722</v>
      </c>
      <c r="I613" t="s">
        <v>1749</v>
      </c>
      <c r="J613" t="s">
        <v>2312</v>
      </c>
      <c r="K613" t="s">
        <v>2367</v>
      </c>
      <c r="M613" t="s">
        <v>2697</v>
      </c>
      <c r="N613" t="s">
        <v>2727</v>
      </c>
      <c r="O613" t="s">
        <v>2728</v>
      </c>
      <c r="P613">
        <v>0</v>
      </c>
      <c r="Q613">
        <v>0</v>
      </c>
      <c r="R613" t="s">
        <v>2730</v>
      </c>
      <c r="S613" t="s">
        <v>2732</v>
      </c>
      <c r="T613" t="s">
        <v>2774</v>
      </c>
      <c r="U613" t="s">
        <v>3412</v>
      </c>
      <c r="W613" t="s">
        <v>2697</v>
      </c>
      <c r="X613" t="s">
        <v>2729</v>
      </c>
    </row>
    <row r="614" spans="1:24">
      <c r="A614">
        <f>HYPERLINK("https://www.philgeps.gov.ph/GEPSNONPILOT/Tender/SplashBidNoticeAbstractUI.aspx?menuIndex=3&amp;refID=7064958&amp;Result=3","7064958")</f>
        <v>0</v>
      </c>
      <c r="B614" t="s">
        <v>244</v>
      </c>
      <c r="C614" t="s">
        <v>932</v>
      </c>
      <c r="D614" t="s">
        <v>1004</v>
      </c>
      <c r="E614" t="s">
        <v>1653</v>
      </c>
      <c r="F614" t="s">
        <v>1712</v>
      </c>
      <c r="G614" t="s">
        <v>1716</v>
      </c>
      <c r="H614" t="s">
        <v>1722</v>
      </c>
      <c r="I614" t="s">
        <v>1727</v>
      </c>
      <c r="J614" t="s">
        <v>2313</v>
      </c>
      <c r="K614" t="s">
        <v>2371</v>
      </c>
      <c r="L614" t="s">
        <v>244</v>
      </c>
      <c r="M614" t="s">
        <v>2635</v>
      </c>
      <c r="N614" t="s">
        <v>2727</v>
      </c>
      <c r="O614" t="s">
        <v>2728</v>
      </c>
      <c r="P614">
        <v>0</v>
      </c>
      <c r="Q614">
        <v>0</v>
      </c>
      <c r="R614" t="s">
        <v>2730</v>
      </c>
      <c r="S614" t="s">
        <v>2732</v>
      </c>
      <c r="T614" t="s">
        <v>2735</v>
      </c>
      <c r="U614" t="s">
        <v>3306</v>
      </c>
      <c r="W614" t="s">
        <v>2635</v>
      </c>
      <c r="X614" t="s">
        <v>2729</v>
      </c>
    </row>
    <row r="615" spans="1:24">
      <c r="A615">
        <f>HYPERLINK("https://www.philgeps.gov.ph/GEPSNONPILOT/Tender/SplashBidNoticeAbstractUI.aspx?menuIndex=3&amp;refID=7064967&amp;Result=3","7064967")</f>
        <v>0</v>
      </c>
      <c r="B615" t="s">
        <v>232</v>
      </c>
      <c r="C615" t="s">
        <v>933</v>
      </c>
      <c r="D615" t="s">
        <v>1048</v>
      </c>
      <c r="E615" t="s">
        <v>1654</v>
      </c>
      <c r="F615" t="s">
        <v>1712</v>
      </c>
      <c r="G615" t="s">
        <v>1719</v>
      </c>
      <c r="H615" t="s">
        <v>1722</v>
      </c>
      <c r="I615" t="s">
        <v>1756</v>
      </c>
      <c r="J615" t="s">
        <v>2314</v>
      </c>
      <c r="K615" t="s">
        <v>2366</v>
      </c>
      <c r="M615" t="s">
        <v>2623</v>
      </c>
      <c r="N615" t="s">
        <v>2727</v>
      </c>
      <c r="O615" t="s">
        <v>2728</v>
      </c>
      <c r="P615">
        <v>0</v>
      </c>
      <c r="Q615">
        <v>0</v>
      </c>
      <c r="R615" t="s">
        <v>2730</v>
      </c>
      <c r="S615" t="s">
        <v>2732</v>
      </c>
      <c r="T615" t="s">
        <v>2787</v>
      </c>
      <c r="U615" t="s">
        <v>3413</v>
      </c>
      <c r="W615" t="s">
        <v>2623</v>
      </c>
      <c r="X615" t="s">
        <v>2729</v>
      </c>
    </row>
    <row r="616" spans="1:24">
      <c r="A616">
        <f>HYPERLINK("https://www.philgeps.gov.ph/GEPSNONPILOT/Tender/SplashBidNoticeAbstractUI.aspx?menuIndex=3&amp;refID=7064956&amp;Result=3","7064956")</f>
        <v>0</v>
      </c>
      <c r="B616" t="s">
        <v>277</v>
      </c>
      <c r="C616" t="s">
        <v>934</v>
      </c>
      <c r="D616" t="s">
        <v>1012</v>
      </c>
      <c r="E616" t="s">
        <v>1655</v>
      </c>
      <c r="F616" t="s">
        <v>1712</v>
      </c>
      <c r="G616" t="s">
        <v>1716</v>
      </c>
      <c r="H616" t="s">
        <v>1722</v>
      </c>
      <c r="I616" t="s">
        <v>1784</v>
      </c>
      <c r="J616" t="s">
        <v>2315</v>
      </c>
      <c r="K616" t="s">
        <v>2359</v>
      </c>
      <c r="M616" t="s">
        <v>2669</v>
      </c>
      <c r="N616" t="s">
        <v>2727</v>
      </c>
      <c r="O616" t="s">
        <v>2728</v>
      </c>
      <c r="P616">
        <v>0</v>
      </c>
      <c r="Q616">
        <v>0</v>
      </c>
      <c r="R616" t="s">
        <v>2730</v>
      </c>
      <c r="S616" t="s">
        <v>2732</v>
      </c>
      <c r="T616" t="s">
        <v>2785</v>
      </c>
      <c r="U616" t="s">
        <v>3414</v>
      </c>
      <c r="W616" t="s">
        <v>2669</v>
      </c>
      <c r="X616" t="s">
        <v>2729</v>
      </c>
    </row>
    <row r="617" spans="1:24">
      <c r="A617">
        <f>HYPERLINK("https://www.philgeps.gov.ph/GEPSNONPILOT/Tender/SplashBidNoticeAbstractUI.aspx?menuIndex=3&amp;refID=7064973&amp;Result=3","7064973")</f>
        <v>0</v>
      </c>
      <c r="B617" t="s">
        <v>248</v>
      </c>
      <c r="C617" t="s">
        <v>935</v>
      </c>
      <c r="D617" t="s">
        <v>1022</v>
      </c>
      <c r="E617" t="s">
        <v>1656</v>
      </c>
      <c r="F617" t="s">
        <v>1712</v>
      </c>
      <c r="G617" t="s">
        <v>1717</v>
      </c>
      <c r="H617" t="s">
        <v>1722</v>
      </c>
      <c r="I617" t="s">
        <v>1739</v>
      </c>
      <c r="J617" t="s">
        <v>2316</v>
      </c>
      <c r="K617" t="s">
        <v>2408</v>
      </c>
      <c r="M617" t="s">
        <v>2639</v>
      </c>
      <c r="N617" t="s">
        <v>2727</v>
      </c>
      <c r="O617" t="s">
        <v>2728</v>
      </c>
      <c r="P617">
        <v>0</v>
      </c>
      <c r="Q617">
        <v>0</v>
      </c>
      <c r="R617" t="s">
        <v>2730</v>
      </c>
      <c r="S617" t="s">
        <v>2732</v>
      </c>
      <c r="T617" t="s">
        <v>2787</v>
      </c>
      <c r="U617" t="s">
        <v>3415</v>
      </c>
      <c r="W617" t="s">
        <v>2639</v>
      </c>
      <c r="X617" t="s">
        <v>2729</v>
      </c>
    </row>
    <row r="618" spans="1:24">
      <c r="A618">
        <f>HYPERLINK("https://www.philgeps.gov.ph/GEPSNONPILOT/Tender/SplashBidNoticeAbstractUI.aspx?menuIndex=3&amp;refID=7064965&amp;Result=3","7064965")</f>
        <v>0</v>
      </c>
      <c r="B618" t="s">
        <v>306</v>
      </c>
      <c r="C618" t="s">
        <v>936</v>
      </c>
      <c r="D618" t="s">
        <v>996</v>
      </c>
      <c r="E618" t="s">
        <v>1657</v>
      </c>
      <c r="F618" t="s">
        <v>1712</v>
      </c>
      <c r="G618" t="s">
        <v>1717</v>
      </c>
      <c r="H618" t="s">
        <v>1725</v>
      </c>
      <c r="I618" t="s">
        <v>1765</v>
      </c>
      <c r="J618" t="s">
        <v>2169</v>
      </c>
      <c r="K618" t="s">
        <v>2366</v>
      </c>
      <c r="M618" t="s">
        <v>2698</v>
      </c>
      <c r="N618" t="s">
        <v>2727</v>
      </c>
      <c r="O618" t="s">
        <v>2728</v>
      </c>
      <c r="P618">
        <v>0</v>
      </c>
      <c r="Q618">
        <v>0</v>
      </c>
      <c r="R618" t="s">
        <v>2730</v>
      </c>
      <c r="S618" t="s">
        <v>2732</v>
      </c>
      <c r="T618" t="s">
        <v>2787</v>
      </c>
      <c r="U618" t="s">
        <v>3416</v>
      </c>
      <c r="W618" t="s">
        <v>3586</v>
      </c>
      <c r="X618" t="s">
        <v>2729</v>
      </c>
    </row>
    <row r="619" spans="1:24">
      <c r="A619">
        <f>HYPERLINK("https://www.philgeps.gov.ph/GEPSNONPILOT/Tender/SplashBidNoticeAbstractUI.aspx?menuIndex=3&amp;refID=7064955&amp;Result=3","7064955")</f>
        <v>0</v>
      </c>
      <c r="B619" t="s">
        <v>307</v>
      </c>
      <c r="C619" t="s">
        <v>937</v>
      </c>
      <c r="D619" t="s">
        <v>1014</v>
      </c>
      <c r="E619" t="s">
        <v>1658</v>
      </c>
      <c r="F619" t="s">
        <v>1712</v>
      </c>
      <c r="G619" t="s">
        <v>1716</v>
      </c>
      <c r="H619" t="s">
        <v>1722</v>
      </c>
      <c r="I619" t="s">
        <v>1732</v>
      </c>
      <c r="J619" t="s">
        <v>2317</v>
      </c>
      <c r="K619" t="s">
        <v>2358</v>
      </c>
      <c r="M619" t="s">
        <v>2699</v>
      </c>
      <c r="N619" t="s">
        <v>2727</v>
      </c>
      <c r="O619" t="s">
        <v>2728</v>
      </c>
      <c r="P619">
        <v>0</v>
      </c>
      <c r="Q619">
        <v>0</v>
      </c>
      <c r="R619" t="s">
        <v>2730</v>
      </c>
      <c r="S619" t="s">
        <v>2732</v>
      </c>
      <c r="T619" t="s">
        <v>2757</v>
      </c>
      <c r="U619" t="s">
        <v>3417</v>
      </c>
      <c r="W619" t="s">
        <v>2699</v>
      </c>
      <c r="X619" t="s">
        <v>2729</v>
      </c>
    </row>
    <row r="620" spans="1:24">
      <c r="A620">
        <f>HYPERLINK("https://www.philgeps.gov.ph/GEPSNONPILOT/Tender/SplashBidNoticeAbstractUI.aspx?menuIndex=3&amp;refID=7064971&amp;Result=3","7064971")</f>
        <v>0</v>
      </c>
      <c r="B620" t="s">
        <v>298</v>
      </c>
      <c r="C620" t="s">
        <v>938</v>
      </c>
      <c r="D620" t="s">
        <v>1047</v>
      </c>
      <c r="E620" t="s">
        <v>1659</v>
      </c>
      <c r="F620" t="s">
        <v>1712</v>
      </c>
      <c r="G620" t="s">
        <v>1718</v>
      </c>
      <c r="H620" t="s">
        <v>1722</v>
      </c>
      <c r="I620" t="s">
        <v>1734</v>
      </c>
      <c r="J620" t="s">
        <v>2318</v>
      </c>
      <c r="K620" t="s">
        <v>2360</v>
      </c>
      <c r="M620" t="s">
        <v>2690</v>
      </c>
      <c r="N620" t="s">
        <v>2727</v>
      </c>
      <c r="O620" t="s">
        <v>2728</v>
      </c>
      <c r="P620">
        <v>0</v>
      </c>
      <c r="Q620">
        <v>1</v>
      </c>
      <c r="R620" t="s">
        <v>2730</v>
      </c>
      <c r="S620" t="s">
        <v>2732</v>
      </c>
      <c r="T620" t="s">
        <v>2786</v>
      </c>
      <c r="U620" t="s">
        <v>3418</v>
      </c>
      <c r="W620" t="s">
        <v>2690</v>
      </c>
      <c r="X620" t="s">
        <v>2729</v>
      </c>
    </row>
    <row r="621" spans="1:24">
      <c r="A621">
        <f>HYPERLINK("https://www.philgeps.gov.ph/GEPSNONPILOT/Tender/SplashBidNoticeAbstractUI.aspx?menuIndex=3&amp;refID=7064970&amp;Result=3","7064970")</f>
        <v>0</v>
      </c>
      <c r="B621" t="s">
        <v>308</v>
      </c>
      <c r="C621" t="s">
        <v>939</v>
      </c>
      <c r="D621" t="s">
        <v>1054</v>
      </c>
      <c r="E621" t="s">
        <v>1660</v>
      </c>
      <c r="F621" t="s">
        <v>1712</v>
      </c>
      <c r="G621" t="s">
        <v>1718</v>
      </c>
      <c r="H621" t="s">
        <v>1722</v>
      </c>
      <c r="I621" t="s">
        <v>1750</v>
      </c>
      <c r="J621" t="s">
        <v>2319</v>
      </c>
      <c r="K621" t="s">
        <v>2358</v>
      </c>
      <c r="M621" t="s">
        <v>2700</v>
      </c>
      <c r="N621" t="s">
        <v>2727</v>
      </c>
      <c r="O621" t="s">
        <v>2728</v>
      </c>
      <c r="P621">
        <v>0</v>
      </c>
      <c r="Q621">
        <v>0</v>
      </c>
      <c r="R621" t="s">
        <v>2730</v>
      </c>
      <c r="S621" t="s">
        <v>2732</v>
      </c>
      <c r="T621" t="s">
        <v>2815</v>
      </c>
      <c r="U621" t="s">
        <v>3419</v>
      </c>
      <c r="W621" t="s">
        <v>2700</v>
      </c>
      <c r="X621" t="s">
        <v>2729</v>
      </c>
    </row>
    <row r="622" spans="1:24">
      <c r="A622">
        <f>HYPERLINK("https://www.philgeps.gov.ph/GEPSNONPILOT/Tender/SplashBidNoticeAbstractUI.aspx?menuIndex=3&amp;refID=7064980&amp;Result=3","7064980")</f>
        <v>0</v>
      </c>
      <c r="B622" t="s">
        <v>309</v>
      </c>
      <c r="C622" t="s">
        <v>940</v>
      </c>
      <c r="D622" t="s">
        <v>1044</v>
      </c>
      <c r="E622" t="s">
        <v>1661</v>
      </c>
      <c r="F622" t="s">
        <v>1712</v>
      </c>
      <c r="G622" t="s">
        <v>1717</v>
      </c>
      <c r="H622" t="s">
        <v>1722</v>
      </c>
      <c r="I622" t="s">
        <v>1745</v>
      </c>
      <c r="J622" t="s">
        <v>2320</v>
      </c>
      <c r="K622" t="s">
        <v>2366</v>
      </c>
      <c r="M622" t="s">
        <v>2701</v>
      </c>
      <c r="N622" t="s">
        <v>2727</v>
      </c>
      <c r="O622" t="s">
        <v>2728</v>
      </c>
      <c r="P622">
        <v>0</v>
      </c>
      <c r="Q622">
        <v>0</v>
      </c>
      <c r="R622" t="s">
        <v>2730</v>
      </c>
      <c r="S622" t="s">
        <v>2732</v>
      </c>
      <c r="T622" t="s">
        <v>2776</v>
      </c>
      <c r="U622" t="s">
        <v>3420</v>
      </c>
      <c r="W622" t="s">
        <v>2701</v>
      </c>
      <c r="X622" t="s">
        <v>2729</v>
      </c>
    </row>
    <row r="623" spans="1:24">
      <c r="A623">
        <f>HYPERLINK("https://www.philgeps.gov.ph/GEPSNONPILOT/Tender/SplashBidNoticeAbstractUI.aspx?menuIndex=3&amp;refID=7064975&amp;Result=3","7064975")</f>
        <v>0</v>
      </c>
      <c r="B623" t="s">
        <v>218</v>
      </c>
      <c r="C623" t="s">
        <v>941</v>
      </c>
      <c r="D623" t="s">
        <v>1057</v>
      </c>
      <c r="E623" t="s">
        <v>1662</v>
      </c>
      <c r="F623" t="s">
        <v>1712</v>
      </c>
      <c r="G623" t="s">
        <v>1717</v>
      </c>
      <c r="H623" t="s">
        <v>1725</v>
      </c>
      <c r="I623" t="s">
        <v>1744</v>
      </c>
      <c r="J623" t="s">
        <v>2321</v>
      </c>
      <c r="K623" t="s">
        <v>2358</v>
      </c>
      <c r="M623" t="s">
        <v>2609</v>
      </c>
      <c r="N623" t="s">
        <v>2727</v>
      </c>
      <c r="O623" t="s">
        <v>2728</v>
      </c>
      <c r="P623">
        <v>0</v>
      </c>
      <c r="Q623">
        <v>0</v>
      </c>
      <c r="R623" t="s">
        <v>2730</v>
      </c>
      <c r="S623" t="s">
        <v>2732</v>
      </c>
      <c r="T623" t="s">
        <v>2848</v>
      </c>
      <c r="U623" t="s">
        <v>3421</v>
      </c>
      <c r="V623" t="s">
        <v>3543</v>
      </c>
      <c r="W623" t="s">
        <v>2609</v>
      </c>
      <c r="X623" t="s">
        <v>2729</v>
      </c>
    </row>
    <row r="624" spans="1:24">
      <c r="A624">
        <f>HYPERLINK("https://www.philgeps.gov.ph/GEPSNONPILOT/Tender/SplashBidNoticeAbstractUI.aspx?menuIndex=3&amp;refID=7064992&amp;Result=3","7064992")</f>
        <v>0</v>
      </c>
      <c r="B624" t="s">
        <v>166</v>
      </c>
      <c r="C624" t="s">
        <v>942</v>
      </c>
      <c r="D624" t="s">
        <v>1021</v>
      </c>
      <c r="E624" t="s">
        <v>1663</v>
      </c>
      <c r="F624" t="s">
        <v>1712</v>
      </c>
      <c r="G624" t="s">
        <v>1716</v>
      </c>
      <c r="H624" t="s">
        <v>1722</v>
      </c>
      <c r="I624" t="s">
        <v>1758</v>
      </c>
      <c r="J624" t="s">
        <v>2119</v>
      </c>
      <c r="K624" t="s">
        <v>2366</v>
      </c>
      <c r="M624" t="s">
        <v>2702</v>
      </c>
      <c r="N624" t="s">
        <v>2727</v>
      </c>
      <c r="O624" t="s">
        <v>2728</v>
      </c>
      <c r="P624">
        <v>0</v>
      </c>
      <c r="Q624">
        <v>0</v>
      </c>
      <c r="R624" t="s">
        <v>2730</v>
      </c>
      <c r="S624" t="s">
        <v>2732</v>
      </c>
      <c r="T624" t="s">
        <v>2757</v>
      </c>
      <c r="U624" t="s">
        <v>3193</v>
      </c>
      <c r="V624" t="s">
        <v>3528</v>
      </c>
      <c r="W624" t="s">
        <v>2702</v>
      </c>
      <c r="X624" t="s">
        <v>2729</v>
      </c>
    </row>
    <row r="625" spans="1:24">
      <c r="A625">
        <f>HYPERLINK("https://www.philgeps.gov.ph/GEPSNONPILOT/Tender/SplashBidNoticeAbstractUI.aspx?menuIndex=3&amp;refID=7064976&amp;Result=3","7064976")</f>
        <v>0</v>
      </c>
      <c r="B625" t="s">
        <v>310</v>
      </c>
      <c r="C625" t="s">
        <v>943</v>
      </c>
      <c r="D625" t="s">
        <v>998</v>
      </c>
      <c r="E625" t="s">
        <v>1664</v>
      </c>
      <c r="F625" t="s">
        <v>1712</v>
      </c>
      <c r="G625" t="s">
        <v>1718</v>
      </c>
      <c r="H625" t="s">
        <v>1723</v>
      </c>
      <c r="I625" t="s">
        <v>1727</v>
      </c>
      <c r="J625" t="s">
        <v>2166</v>
      </c>
      <c r="K625" t="s">
        <v>2367</v>
      </c>
      <c r="M625" t="s">
        <v>2703</v>
      </c>
      <c r="N625" t="s">
        <v>2727</v>
      </c>
      <c r="O625" t="s">
        <v>2728</v>
      </c>
      <c r="P625">
        <v>0</v>
      </c>
      <c r="Q625">
        <v>0</v>
      </c>
      <c r="R625" t="s">
        <v>2730</v>
      </c>
      <c r="S625" t="s">
        <v>2732</v>
      </c>
      <c r="T625" t="s">
        <v>2748</v>
      </c>
      <c r="U625" t="s">
        <v>3422</v>
      </c>
      <c r="W625" t="s">
        <v>2703</v>
      </c>
      <c r="X625" t="s">
        <v>2729</v>
      </c>
    </row>
    <row r="626" spans="1:24">
      <c r="A626">
        <f>HYPERLINK("https://www.philgeps.gov.ph/GEPSNONPILOT/Tender/SplashBidNoticeAbstractUI.aspx?menuIndex=3&amp;refID=7064978&amp;Result=3","7064978")</f>
        <v>0</v>
      </c>
      <c r="B626" t="s">
        <v>130</v>
      </c>
      <c r="C626" t="s">
        <v>944</v>
      </c>
      <c r="E626" t="s">
        <v>1665</v>
      </c>
      <c r="F626" t="s">
        <v>1712</v>
      </c>
      <c r="G626" t="s">
        <v>1717</v>
      </c>
      <c r="H626" t="s">
        <v>1722</v>
      </c>
      <c r="I626" t="s">
        <v>1768</v>
      </c>
      <c r="J626" t="s">
        <v>2322</v>
      </c>
      <c r="K626" t="s">
        <v>2358</v>
      </c>
      <c r="M626" t="s">
        <v>2521</v>
      </c>
      <c r="N626" t="s">
        <v>2727</v>
      </c>
      <c r="O626" t="s">
        <v>2728</v>
      </c>
      <c r="P626">
        <v>0</v>
      </c>
      <c r="Q626">
        <v>0</v>
      </c>
      <c r="R626" t="s">
        <v>2730</v>
      </c>
      <c r="S626" t="s">
        <v>2732</v>
      </c>
      <c r="T626" t="s">
        <v>2774</v>
      </c>
      <c r="U626" t="s">
        <v>3423</v>
      </c>
      <c r="V626" t="s">
        <v>3518</v>
      </c>
      <c r="W626" t="s">
        <v>2521</v>
      </c>
      <c r="X626" t="s">
        <v>2729</v>
      </c>
    </row>
    <row r="627" spans="1:24">
      <c r="A627">
        <f>HYPERLINK("https://www.philgeps.gov.ph/GEPSNONPILOT/Tender/SplashBidNoticeAbstractUI.aspx?menuIndex=3&amp;refID=7064991&amp;Result=3","7064991")</f>
        <v>0</v>
      </c>
      <c r="B627" t="s">
        <v>311</v>
      </c>
      <c r="C627" t="s">
        <v>945</v>
      </c>
      <c r="D627" t="s">
        <v>1020</v>
      </c>
      <c r="E627" t="s">
        <v>1666</v>
      </c>
      <c r="F627" t="s">
        <v>1712</v>
      </c>
      <c r="G627" t="s">
        <v>1717</v>
      </c>
      <c r="H627" t="s">
        <v>1722</v>
      </c>
      <c r="I627" t="s">
        <v>1772</v>
      </c>
      <c r="J627" t="s">
        <v>2323</v>
      </c>
      <c r="K627" t="s">
        <v>2410</v>
      </c>
      <c r="M627" t="s">
        <v>2704</v>
      </c>
      <c r="N627" t="s">
        <v>2727</v>
      </c>
      <c r="O627" t="s">
        <v>2728</v>
      </c>
      <c r="P627">
        <v>0</v>
      </c>
      <c r="Q627">
        <v>0</v>
      </c>
      <c r="R627" t="s">
        <v>2730</v>
      </c>
      <c r="S627" t="s">
        <v>2732</v>
      </c>
      <c r="T627" t="s">
        <v>2749</v>
      </c>
      <c r="U627" t="s">
        <v>3424</v>
      </c>
      <c r="W627" t="s">
        <v>2704</v>
      </c>
      <c r="X627" t="s">
        <v>2729</v>
      </c>
    </row>
    <row r="628" spans="1:24">
      <c r="A628">
        <f>HYPERLINK("https://www.philgeps.gov.ph/GEPSNONPILOT/Tender/SplashBidNoticeAbstractUI.aspx?menuIndex=3&amp;refID=7064989&amp;Result=3","7064989")</f>
        <v>0</v>
      </c>
      <c r="B628" t="s">
        <v>312</v>
      </c>
      <c r="C628" t="s">
        <v>946</v>
      </c>
      <c r="D628" t="s">
        <v>1056</v>
      </c>
      <c r="E628" t="s">
        <v>1667</v>
      </c>
      <c r="F628" t="s">
        <v>1712</v>
      </c>
      <c r="G628" t="s">
        <v>1717</v>
      </c>
      <c r="H628" t="s">
        <v>1722</v>
      </c>
      <c r="I628" t="s">
        <v>1758</v>
      </c>
      <c r="J628" t="s">
        <v>2222</v>
      </c>
      <c r="K628" t="s">
        <v>2371</v>
      </c>
      <c r="M628" t="s">
        <v>2705</v>
      </c>
      <c r="N628" t="s">
        <v>2727</v>
      </c>
      <c r="O628" t="s">
        <v>2728</v>
      </c>
      <c r="P628">
        <v>0</v>
      </c>
      <c r="Q628">
        <v>0</v>
      </c>
      <c r="R628" t="s">
        <v>2730</v>
      </c>
      <c r="S628" t="s">
        <v>2732</v>
      </c>
      <c r="T628" t="s">
        <v>2831</v>
      </c>
      <c r="U628" t="s">
        <v>3425</v>
      </c>
      <c r="V628" t="s">
        <v>3568</v>
      </c>
      <c r="W628" t="s">
        <v>2705</v>
      </c>
      <c r="X628" t="s">
        <v>2729</v>
      </c>
    </row>
    <row r="629" spans="1:24">
      <c r="A629">
        <f>HYPERLINK("https://www.philgeps.gov.ph/GEPSNONPILOT/Tender/SplashBidNoticeAbstractUI.aspx?menuIndex=3&amp;refID=7064993&amp;Result=3","7064993")</f>
        <v>0</v>
      </c>
      <c r="B629" t="s">
        <v>249</v>
      </c>
      <c r="C629" t="s">
        <v>947</v>
      </c>
      <c r="D629" t="s">
        <v>1006</v>
      </c>
      <c r="E629" t="s">
        <v>1668</v>
      </c>
      <c r="F629" t="s">
        <v>1712</v>
      </c>
      <c r="G629" t="s">
        <v>1721</v>
      </c>
      <c r="H629" t="s">
        <v>1723</v>
      </c>
      <c r="I629" t="s">
        <v>1729</v>
      </c>
      <c r="J629" t="s">
        <v>2324</v>
      </c>
      <c r="K629" t="s">
        <v>2367</v>
      </c>
      <c r="M629" t="s">
        <v>2706</v>
      </c>
      <c r="N629" t="s">
        <v>2727</v>
      </c>
      <c r="O629" t="s">
        <v>2728</v>
      </c>
      <c r="P629">
        <v>0</v>
      </c>
      <c r="Q629">
        <v>0</v>
      </c>
      <c r="R629" t="s">
        <v>2730</v>
      </c>
      <c r="S629" t="s">
        <v>2732</v>
      </c>
      <c r="T629" t="s">
        <v>2750</v>
      </c>
      <c r="U629" t="s">
        <v>3426</v>
      </c>
      <c r="W629" t="s">
        <v>2706</v>
      </c>
      <c r="X629" t="s">
        <v>2729</v>
      </c>
    </row>
    <row r="630" spans="1:24">
      <c r="A630">
        <f>HYPERLINK("https://www.philgeps.gov.ph/GEPSNONPILOT/Tender/SplashBidNoticeAbstractUI.aspx?menuIndex=3&amp;refID=7064974&amp;Result=3","7064974")</f>
        <v>0</v>
      </c>
      <c r="B630" t="s">
        <v>313</v>
      </c>
      <c r="C630" t="s">
        <v>948</v>
      </c>
      <c r="D630" t="s">
        <v>1019</v>
      </c>
      <c r="E630" t="s">
        <v>1669</v>
      </c>
      <c r="F630" t="s">
        <v>1712</v>
      </c>
      <c r="G630" t="s">
        <v>1717</v>
      </c>
      <c r="H630" t="s">
        <v>1722</v>
      </c>
      <c r="I630" t="s">
        <v>1802</v>
      </c>
      <c r="J630" t="s">
        <v>2325</v>
      </c>
      <c r="K630" t="s">
        <v>2371</v>
      </c>
      <c r="M630" t="s">
        <v>2707</v>
      </c>
      <c r="N630" t="s">
        <v>2727</v>
      </c>
      <c r="O630" t="s">
        <v>2728</v>
      </c>
      <c r="P630">
        <v>0</v>
      </c>
      <c r="Q630">
        <v>0</v>
      </c>
      <c r="R630" t="s">
        <v>2730</v>
      </c>
      <c r="S630" t="s">
        <v>2732</v>
      </c>
      <c r="T630" t="s">
        <v>2749</v>
      </c>
      <c r="U630" t="s">
        <v>3427</v>
      </c>
      <c r="W630" t="s">
        <v>2707</v>
      </c>
      <c r="X630" t="s">
        <v>2729</v>
      </c>
    </row>
    <row r="631" spans="1:24">
      <c r="A631">
        <f>HYPERLINK("https://www.philgeps.gov.ph/GEPSNONPILOT/Tender/SplashBidNoticeAbstractUI.aspx?menuIndex=3&amp;refID=7064977&amp;Result=3","7064977")</f>
        <v>0</v>
      </c>
      <c r="B631" t="s">
        <v>126</v>
      </c>
      <c r="C631" t="s">
        <v>949</v>
      </c>
      <c r="D631" t="s">
        <v>1026</v>
      </c>
      <c r="E631" t="s">
        <v>1670</v>
      </c>
      <c r="F631" t="s">
        <v>1712</v>
      </c>
      <c r="G631" t="s">
        <v>1717</v>
      </c>
      <c r="H631" t="s">
        <v>1722</v>
      </c>
      <c r="I631" t="s">
        <v>1737</v>
      </c>
      <c r="J631" t="s">
        <v>2326</v>
      </c>
      <c r="K631" t="s">
        <v>2358</v>
      </c>
      <c r="M631" t="s">
        <v>2517</v>
      </c>
      <c r="N631" t="s">
        <v>2727</v>
      </c>
      <c r="O631" t="s">
        <v>2728</v>
      </c>
      <c r="P631">
        <v>0</v>
      </c>
      <c r="Q631">
        <v>0</v>
      </c>
      <c r="R631" t="s">
        <v>2730</v>
      </c>
      <c r="S631" t="s">
        <v>2732</v>
      </c>
      <c r="T631" t="s">
        <v>2810</v>
      </c>
      <c r="U631" t="s">
        <v>3428</v>
      </c>
      <c r="W631" t="s">
        <v>2517</v>
      </c>
      <c r="X631" t="s">
        <v>2729</v>
      </c>
    </row>
    <row r="632" spans="1:24">
      <c r="A632">
        <f>HYPERLINK("https://www.philgeps.gov.ph/GEPSNONPILOT/Tender/SplashBidNoticeAbstractUI.aspx?menuIndex=3&amp;refID=7064990&amp;Result=3","7064990")</f>
        <v>0</v>
      </c>
      <c r="B632" t="s">
        <v>314</v>
      </c>
      <c r="C632" t="s">
        <v>950</v>
      </c>
      <c r="D632" t="s">
        <v>1061</v>
      </c>
      <c r="E632" t="s">
        <v>1671</v>
      </c>
      <c r="F632" t="s">
        <v>1712</v>
      </c>
      <c r="G632" t="s">
        <v>1718</v>
      </c>
      <c r="H632" t="s">
        <v>1722</v>
      </c>
      <c r="I632" t="s">
        <v>1773</v>
      </c>
      <c r="J632" t="s">
        <v>2327</v>
      </c>
      <c r="K632" t="s">
        <v>2358</v>
      </c>
      <c r="M632" t="s">
        <v>2708</v>
      </c>
      <c r="N632" t="s">
        <v>2727</v>
      </c>
      <c r="O632" t="s">
        <v>2728</v>
      </c>
      <c r="P632">
        <v>0</v>
      </c>
      <c r="Q632">
        <v>0</v>
      </c>
      <c r="R632" t="s">
        <v>2730</v>
      </c>
      <c r="S632" t="s">
        <v>2732</v>
      </c>
      <c r="T632" t="s">
        <v>2745</v>
      </c>
      <c r="U632" t="s">
        <v>3429</v>
      </c>
      <c r="V632" t="s">
        <v>3569</v>
      </c>
      <c r="W632" t="s">
        <v>2708</v>
      </c>
      <c r="X632" t="s">
        <v>2729</v>
      </c>
    </row>
    <row r="633" spans="1:24">
      <c r="A633">
        <f>HYPERLINK("https://www.philgeps.gov.ph/GEPSNONPILOT/Tender/SplashBidNoticeAbstractUI.aspx?menuIndex=3&amp;refID=7064985&amp;Result=3","7064985")</f>
        <v>0</v>
      </c>
      <c r="B633" t="s">
        <v>315</v>
      </c>
      <c r="C633" t="s">
        <v>951</v>
      </c>
      <c r="D633" t="s">
        <v>1001</v>
      </c>
      <c r="E633" t="s">
        <v>1672</v>
      </c>
      <c r="F633" t="s">
        <v>1713</v>
      </c>
      <c r="G633" t="s">
        <v>1716</v>
      </c>
      <c r="H633" t="s">
        <v>1723</v>
      </c>
      <c r="I633" t="s">
        <v>1729</v>
      </c>
      <c r="J633" t="s">
        <v>1867</v>
      </c>
      <c r="K633" t="s">
        <v>2366</v>
      </c>
      <c r="L633" t="s">
        <v>315</v>
      </c>
      <c r="M633" t="s">
        <v>2709</v>
      </c>
      <c r="N633" t="s">
        <v>2727</v>
      </c>
      <c r="O633" t="s">
        <v>2728</v>
      </c>
      <c r="P633">
        <v>0</v>
      </c>
      <c r="Q633">
        <v>0</v>
      </c>
      <c r="R633" t="s">
        <v>2730</v>
      </c>
      <c r="S633" t="s">
        <v>2732</v>
      </c>
      <c r="T633" t="s">
        <v>2777</v>
      </c>
      <c r="U633" t="s">
        <v>3430</v>
      </c>
      <c r="V633" t="s">
        <v>3570</v>
      </c>
      <c r="W633" t="s">
        <v>2709</v>
      </c>
      <c r="X633" t="s">
        <v>2729</v>
      </c>
    </row>
    <row r="634" spans="1:24">
      <c r="A634">
        <f>HYPERLINK("https://www.philgeps.gov.ph/GEPSNONPILOT/Tender/SplashBidNoticeAbstractUI.aspx?menuIndex=3&amp;refID=7064987&amp;Result=3","7064987")</f>
        <v>0</v>
      </c>
      <c r="B634" t="s">
        <v>285</v>
      </c>
      <c r="C634" t="s">
        <v>952</v>
      </c>
      <c r="D634" t="s">
        <v>1019</v>
      </c>
      <c r="E634" t="s">
        <v>1673</v>
      </c>
      <c r="F634" t="s">
        <v>1712</v>
      </c>
      <c r="G634" t="s">
        <v>1716</v>
      </c>
      <c r="H634" t="s">
        <v>1723</v>
      </c>
      <c r="I634" t="s">
        <v>1729</v>
      </c>
      <c r="J634" t="s">
        <v>1820</v>
      </c>
      <c r="K634" t="s">
        <v>2393</v>
      </c>
      <c r="M634" t="s">
        <v>2677</v>
      </c>
      <c r="N634" t="s">
        <v>2727</v>
      </c>
      <c r="O634" t="s">
        <v>2728</v>
      </c>
      <c r="P634">
        <v>0</v>
      </c>
      <c r="Q634">
        <v>0</v>
      </c>
      <c r="R634" t="s">
        <v>2730</v>
      </c>
      <c r="S634" t="s">
        <v>2732</v>
      </c>
      <c r="T634" t="s">
        <v>2846</v>
      </c>
      <c r="U634" t="s">
        <v>3384</v>
      </c>
      <c r="W634" t="s">
        <v>2677</v>
      </c>
      <c r="X634" t="s">
        <v>2729</v>
      </c>
    </row>
    <row r="635" spans="1:24">
      <c r="A635">
        <f>HYPERLINK("https://www.philgeps.gov.ph/GEPSNONPILOT/Tender/SplashBidNoticeAbstractUI.aspx?menuIndex=3&amp;refID=7064986&amp;Result=3","7064986")</f>
        <v>0</v>
      </c>
      <c r="B635" t="s">
        <v>184</v>
      </c>
      <c r="C635" t="s">
        <v>953</v>
      </c>
      <c r="D635" t="s">
        <v>1006</v>
      </c>
      <c r="E635" t="s">
        <v>1674</v>
      </c>
      <c r="F635" t="s">
        <v>1712</v>
      </c>
      <c r="G635" t="s">
        <v>1717</v>
      </c>
      <c r="H635" t="s">
        <v>1722</v>
      </c>
      <c r="I635" t="s">
        <v>1727</v>
      </c>
      <c r="J635" t="s">
        <v>2328</v>
      </c>
      <c r="K635" t="s">
        <v>2359</v>
      </c>
      <c r="M635" t="s">
        <v>2575</v>
      </c>
      <c r="N635" t="s">
        <v>2727</v>
      </c>
      <c r="O635" t="s">
        <v>2728</v>
      </c>
      <c r="P635">
        <v>0</v>
      </c>
      <c r="Q635">
        <v>0</v>
      </c>
      <c r="R635" t="s">
        <v>2730</v>
      </c>
      <c r="S635" t="s">
        <v>2732</v>
      </c>
      <c r="T635" t="s">
        <v>2849</v>
      </c>
      <c r="U635" t="s">
        <v>3431</v>
      </c>
      <c r="W635" t="s">
        <v>2575</v>
      </c>
      <c r="X635" t="s">
        <v>2729</v>
      </c>
    </row>
    <row r="636" spans="1:24">
      <c r="A636">
        <f>HYPERLINK("https://www.philgeps.gov.ph/GEPSNONPILOT/Tender/SplashBidNoticeAbstractUI.aspx?menuIndex=3&amp;refID=7064995&amp;Result=3","7064995")</f>
        <v>0</v>
      </c>
      <c r="B636" t="s">
        <v>232</v>
      </c>
      <c r="C636" t="s">
        <v>954</v>
      </c>
      <c r="D636" t="s">
        <v>1048</v>
      </c>
      <c r="E636" t="s">
        <v>1675</v>
      </c>
      <c r="F636" t="s">
        <v>1712</v>
      </c>
      <c r="G636" t="s">
        <v>1717</v>
      </c>
      <c r="H636" t="s">
        <v>1722</v>
      </c>
      <c r="I636" t="s">
        <v>1803</v>
      </c>
      <c r="J636" t="s">
        <v>1814</v>
      </c>
      <c r="K636" t="s">
        <v>2366</v>
      </c>
      <c r="M636" t="s">
        <v>2623</v>
      </c>
      <c r="N636" t="s">
        <v>2727</v>
      </c>
      <c r="O636" t="s">
        <v>2728</v>
      </c>
      <c r="P636">
        <v>0</v>
      </c>
      <c r="Q636">
        <v>0</v>
      </c>
      <c r="R636" t="s">
        <v>2730</v>
      </c>
      <c r="S636" t="s">
        <v>2732</v>
      </c>
      <c r="T636" t="s">
        <v>2746</v>
      </c>
      <c r="U636" t="s">
        <v>3432</v>
      </c>
      <c r="W636" t="s">
        <v>2623</v>
      </c>
      <c r="X636" t="s">
        <v>2729</v>
      </c>
    </row>
    <row r="637" spans="1:24">
      <c r="A637">
        <f>HYPERLINK("https://www.philgeps.gov.ph/GEPSNONPILOT/Tender/SplashBidNoticeAbstractUI.aspx?menuIndex=3&amp;refID=7064981&amp;Result=3","7064981")</f>
        <v>0</v>
      </c>
      <c r="B637" t="s">
        <v>316</v>
      </c>
      <c r="C637" t="s">
        <v>955</v>
      </c>
      <c r="D637" t="s">
        <v>1007</v>
      </c>
      <c r="E637" t="s">
        <v>1676</v>
      </c>
      <c r="F637" t="s">
        <v>1712</v>
      </c>
      <c r="G637" t="s">
        <v>1717</v>
      </c>
      <c r="H637" t="s">
        <v>1722</v>
      </c>
      <c r="I637" t="s">
        <v>1797</v>
      </c>
      <c r="J637" t="s">
        <v>2329</v>
      </c>
      <c r="K637" t="s">
        <v>2371</v>
      </c>
      <c r="M637" t="s">
        <v>2710</v>
      </c>
      <c r="N637" t="s">
        <v>2727</v>
      </c>
      <c r="O637" t="s">
        <v>2728</v>
      </c>
      <c r="P637">
        <v>0</v>
      </c>
      <c r="Q637">
        <v>0</v>
      </c>
      <c r="R637" t="s">
        <v>2730</v>
      </c>
      <c r="S637" t="s">
        <v>2732</v>
      </c>
      <c r="T637" t="s">
        <v>2836</v>
      </c>
      <c r="U637" t="s">
        <v>3433</v>
      </c>
      <c r="W637" t="s">
        <v>2710</v>
      </c>
      <c r="X637" t="s">
        <v>2729</v>
      </c>
    </row>
    <row r="638" spans="1:24">
      <c r="A638">
        <f>HYPERLINK("https://www.philgeps.gov.ph/GEPSNONPILOT/Tender/SplashBidNoticeAbstractUI.aspx?menuIndex=3&amp;refID=7064994&amp;Result=3","7064994")</f>
        <v>0</v>
      </c>
      <c r="B638" t="s">
        <v>92</v>
      </c>
      <c r="C638" t="s">
        <v>956</v>
      </c>
      <c r="D638" t="s">
        <v>1033</v>
      </c>
      <c r="E638" t="s">
        <v>1677</v>
      </c>
      <c r="F638" t="s">
        <v>1712</v>
      </c>
      <c r="G638" t="s">
        <v>1719</v>
      </c>
      <c r="H638" t="s">
        <v>1722</v>
      </c>
      <c r="I638" t="s">
        <v>1737</v>
      </c>
      <c r="J638" t="s">
        <v>2330</v>
      </c>
      <c r="K638" t="s">
        <v>2359</v>
      </c>
      <c r="M638" t="s">
        <v>2482</v>
      </c>
      <c r="N638" t="s">
        <v>2727</v>
      </c>
      <c r="O638" t="s">
        <v>2728</v>
      </c>
      <c r="P638">
        <v>0</v>
      </c>
      <c r="Q638">
        <v>0</v>
      </c>
      <c r="R638" t="s">
        <v>2730</v>
      </c>
      <c r="S638" t="s">
        <v>2732</v>
      </c>
      <c r="T638" t="s">
        <v>2749</v>
      </c>
      <c r="U638" t="s">
        <v>3434</v>
      </c>
      <c r="W638" t="s">
        <v>2482</v>
      </c>
      <c r="X638" t="s">
        <v>2729</v>
      </c>
    </row>
    <row r="639" spans="1:24">
      <c r="A639">
        <f>HYPERLINK("https://www.philgeps.gov.ph/GEPSNONPILOT/Tender/SplashBidNoticeAbstractUI.aspx?menuIndex=3&amp;refID=7064982&amp;Result=3","7064982")</f>
        <v>0</v>
      </c>
      <c r="B639" t="s">
        <v>317</v>
      </c>
      <c r="C639" t="s">
        <v>957</v>
      </c>
      <c r="E639" t="s">
        <v>1678</v>
      </c>
      <c r="F639" t="s">
        <v>1715</v>
      </c>
      <c r="G639" t="s">
        <v>1718</v>
      </c>
      <c r="H639" t="s">
        <v>1722</v>
      </c>
      <c r="I639" t="s">
        <v>1738</v>
      </c>
      <c r="J639" t="s">
        <v>2331</v>
      </c>
      <c r="K639" t="s">
        <v>2367</v>
      </c>
      <c r="M639" t="s">
        <v>2711</v>
      </c>
      <c r="N639" t="s">
        <v>2727</v>
      </c>
      <c r="O639" t="s">
        <v>2728</v>
      </c>
      <c r="P639">
        <v>0</v>
      </c>
      <c r="Q639">
        <v>0</v>
      </c>
      <c r="R639" t="s">
        <v>2730</v>
      </c>
      <c r="S639" t="s">
        <v>2732</v>
      </c>
      <c r="T639" t="s">
        <v>2788</v>
      </c>
      <c r="U639" t="s">
        <v>3435</v>
      </c>
      <c r="W639" t="s">
        <v>2711</v>
      </c>
      <c r="X639" t="s">
        <v>2729</v>
      </c>
    </row>
    <row r="640" spans="1:24">
      <c r="A640">
        <f>HYPERLINK("https://www.philgeps.gov.ph/GEPSNONPILOT/Tender/SplashBidNoticeAbstractUI.aspx?menuIndex=3&amp;refID=7064983&amp;Result=3","7064983")</f>
        <v>0</v>
      </c>
      <c r="B640" t="s">
        <v>318</v>
      </c>
      <c r="C640" t="s">
        <v>958</v>
      </c>
      <c r="D640" t="s">
        <v>1019</v>
      </c>
      <c r="E640" t="s">
        <v>1679</v>
      </c>
      <c r="F640" t="s">
        <v>1712</v>
      </c>
      <c r="G640" t="s">
        <v>1718</v>
      </c>
      <c r="H640" t="s">
        <v>1722</v>
      </c>
      <c r="I640" t="s">
        <v>1758</v>
      </c>
      <c r="J640" t="s">
        <v>2332</v>
      </c>
      <c r="K640" t="s">
        <v>2365</v>
      </c>
      <c r="M640" t="s">
        <v>2712</v>
      </c>
      <c r="N640" t="s">
        <v>2727</v>
      </c>
      <c r="O640" t="s">
        <v>2728</v>
      </c>
      <c r="P640">
        <v>0</v>
      </c>
      <c r="Q640">
        <v>0</v>
      </c>
      <c r="R640" t="s">
        <v>2730</v>
      </c>
      <c r="S640" t="s">
        <v>2732</v>
      </c>
      <c r="T640" t="s">
        <v>2778</v>
      </c>
      <c r="U640" t="s">
        <v>3436</v>
      </c>
      <c r="W640" t="s">
        <v>2712</v>
      </c>
      <c r="X640" t="s">
        <v>2729</v>
      </c>
    </row>
    <row r="641" spans="1:24">
      <c r="A641">
        <f>HYPERLINK("https://www.philgeps.gov.ph/GEPSNONPILOT/Tender/SplashBidNoticeAbstractUI.aspx?menuIndex=3&amp;refID=7064984&amp;Result=3","7064984")</f>
        <v>0</v>
      </c>
      <c r="B641" t="s">
        <v>112</v>
      </c>
      <c r="C641" t="s">
        <v>959</v>
      </c>
      <c r="D641" t="s">
        <v>1025</v>
      </c>
      <c r="E641" t="s">
        <v>1404</v>
      </c>
      <c r="F641" t="s">
        <v>1712</v>
      </c>
      <c r="G641" t="s">
        <v>1717</v>
      </c>
      <c r="H641" t="s">
        <v>1722</v>
      </c>
      <c r="I641" t="s">
        <v>1737</v>
      </c>
      <c r="J641" t="s">
        <v>2333</v>
      </c>
      <c r="K641" t="s">
        <v>2366</v>
      </c>
      <c r="M641" t="s">
        <v>2503</v>
      </c>
      <c r="N641" t="s">
        <v>2727</v>
      </c>
      <c r="O641" t="s">
        <v>2728</v>
      </c>
      <c r="P641">
        <v>0</v>
      </c>
      <c r="Q641">
        <v>0</v>
      </c>
      <c r="R641" t="s">
        <v>2730</v>
      </c>
      <c r="S641" t="s">
        <v>2732</v>
      </c>
      <c r="T641" t="s">
        <v>2749</v>
      </c>
      <c r="U641" t="s">
        <v>3437</v>
      </c>
      <c r="W641" t="s">
        <v>2503</v>
      </c>
      <c r="X641" t="s">
        <v>2729</v>
      </c>
    </row>
    <row r="642" spans="1:24">
      <c r="A642">
        <f>HYPERLINK("https://www.philgeps.gov.ph/GEPSNONPILOT/Tender/SplashBidNoticeAbstractUI.aspx?menuIndex=3&amp;refID=7064998&amp;Result=3","7064998")</f>
        <v>0</v>
      </c>
      <c r="B642" t="s">
        <v>319</v>
      </c>
      <c r="C642" t="s">
        <v>960</v>
      </c>
      <c r="D642" t="s">
        <v>1047</v>
      </c>
      <c r="E642" t="s">
        <v>1680</v>
      </c>
      <c r="F642" t="s">
        <v>1712</v>
      </c>
      <c r="G642" t="s">
        <v>1717</v>
      </c>
      <c r="H642" t="s">
        <v>1722</v>
      </c>
      <c r="I642" t="s">
        <v>1737</v>
      </c>
      <c r="J642" t="s">
        <v>2334</v>
      </c>
      <c r="K642" t="s">
        <v>2359</v>
      </c>
      <c r="M642" t="s">
        <v>2713</v>
      </c>
      <c r="N642" t="s">
        <v>2727</v>
      </c>
      <c r="O642" t="s">
        <v>2728</v>
      </c>
      <c r="P642">
        <v>0</v>
      </c>
      <c r="Q642">
        <v>0</v>
      </c>
      <c r="R642" t="s">
        <v>2730</v>
      </c>
      <c r="S642" t="s">
        <v>2732</v>
      </c>
      <c r="T642" t="s">
        <v>2749</v>
      </c>
      <c r="U642" t="s">
        <v>3438</v>
      </c>
      <c r="W642" t="s">
        <v>2713</v>
      </c>
      <c r="X642" t="s">
        <v>2729</v>
      </c>
    </row>
    <row r="643" spans="1:24">
      <c r="A643">
        <f>HYPERLINK("https://www.philgeps.gov.ph/GEPSNONPILOT/Tender/SplashBidNoticeAbstractUI.aspx?menuIndex=3&amp;refID=7065015&amp;Result=3","7065015")</f>
        <v>0</v>
      </c>
      <c r="B643" t="s">
        <v>218</v>
      </c>
      <c r="C643" t="s">
        <v>961</v>
      </c>
      <c r="D643" t="s">
        <v>1057</v>
      </c>
      <c r="E643" t="s">
        <v>1681</v>
      </c>
      <c r="F643" t="s">
        <v>1712</v>
      </c>
      <c r="G643" t="s">
        <v>1717</v>
      </c>
      <c r="H643" t="s">
        <v>1725</v>
      </c>
      <c r="I643" t="s">
        <v>1777</v>
      </c>
      <c r="J643" t="s">
        <v>2114</v>
      </c>
      <c r="K643" t="s">
        <v>2411</v>
      </c>
      <c r="M643" t="s">
        <v>2609</v>
      </c>
      <c r="N643" t="s">
        <v>2727</v>
      </c>
      <c r="O643" t="s">
        <v>2728</v>
      </c>
      <c r="P643">
        <v>0</v>
      </c>
      <c r="Q643">
        <v>0</v>
      </c>
      <c r="R643" t="s">
        <v>2730</v>
      </c>
      <c r="S643" t="s">
        <v>2732</v>
      </c>
      <c r="T643" t="s">
        <v>2850</v>
      </c>
      <c r="U643" t="s">
        <v>3439</v>
      </c>
      <c r="V643" t="s">
        <v>3543</v>
      </c>
      <c r="W643" t="s">
        <v>2609</v>
      </c>
      <c r="X643" t="s">
        <v>2729</v>
      </c>
    </row>
    <row r="644" spans="1:24">
      <c r="A644">
        <f>HYPERLINK("https://www.philgeps.gov.ph/GEPSNONPILOT/Tender/SplashBidNoticeAbstractUI.aspx?menuIndex=3&amp;refID=7065006&amp;Result=3","7065006")</f>
        <v>0</v>
      </c>
      <c r="B644" t="s">
        <v>166</v>
      </c>
      <c r="C644" t="s">
        <v>962</v>
      </c>
      <c r="D644" t="s">
        <v>1021</v>
      </c>
      <c r="E644" t="s">
        <v>1682</v>
      </c>
      <c r="F644" t="s">
        <v>1712</v>
      </c>
      <c r="G644" t="s">
        <v>1716</v>
      </c>
      <c r="H644" t="s">
        <v>1722</v>
      </c>
      <c r="I644" t="s">
        <v>1731</v>
      </c>
      <c r="J644" t="s">
        <v>2154</v>
      </c>
      <c r="K644" t="s">
        <v>2366</v>
      </c>
      <c r="M644" t="s">
        <v>2702</v>
      </c>
      <c r="N644" t="s">
        <v>2727</v>
      </c>
      <c r="O644" t="s">
        <v>2728</v>
      </c>
      <c r="P644">
        <v>0</v>
      </c>
      <c r="Q644">
        <v>0</v>
      </c>
      <c r="R644" t="s">
        <v>2730</v>
      </c>
      <c r="S644" t="s">
        <v>2732</v>
      </c>
      <c r="T644" t="s">
        <v>2757</v>
      </c>
      <c r="U644" t="s">
        <v>3193</v>
      </c>
      <c r="V644" t="s">
        <v>3528</v>
      </c>
      <c r="W644" t="s">
        <v>2702</v>
      </c>
      <c r="X644" t="s">
        <v>2729</v>
      </c>
    </row>
    <row r="645" spans="1:24">
      <c r="A645">
        <f>HYPERLINK("https://www.philgeps.gov.ph/GEPSNONPILOT/Tender/SplashBidNoticeAbstractUI.aspx?menuIndex=3&amp;refID=7065016&amp;Result=3","7065016")</f>
        <v>0</v>
      </c>
      <c r="B645" t="s">
        <v>194</v>
      </c>
      <c r="C645" t="s">
        <v>963</v>
      </c>
      <c r="D645" t="s">
        <v>1013</v>
      </c>
      <c r="E645" t="s">
        <v>1683</v>
      </c>
      <c r="F645" t="s">
        <v>1712</v>
      </c>
      <c r="G645" t="s">
        <v>1716</v>
      </c>
      <c r="H645" t="s">
        <v>1722</v>
      </c>
      <c r="I645" t="s">
        <v>1727</v>
      </c>
      <c r="J645" t="s">
        <v>2335</v>
      </c>
      <c r="K645" t="s">
        <v>2367</v>
      </c>
      <c r="M645" t="s">
        <v>2585</v>
      </c>
      <c r="N645" t="s">
        <v>2727</v>
      </c>
      <c r="O645" t="s">
        <v>2728</v>
      </c>
      <c r="P645">
        <v>0</v>
      </c>
      <c r="Q645">
        <v>0</v>
      </c>
      <c r="R645" t="s">
        <v>2730</v>
      </c>
      <c r="S645" t="s">
        <v>2732</v>
      </c>
      <c r="T645" t="s">
        <v>2851</v>
      </c>
      <c r="U645" t="s">
        <v>3440</v>
      </c>
      <c r="W645" t="s">
        <v>3587</v>
      </c>
      <c r="X645" t="s">
        <v>2729</v>
      </c>
    </row>
    <row r="646" spans="1:24">
      <c r="A646">
        <f>HYPERLINK("https://www.philgeps.gov.ph/GEPSNONPILOT/Tender/SplashBidNoticeAbstractUI.aspx?menuIndex=3&amp;refID=7065004&amp;Result=3","7065004")</f>
        <v>0</v>
      </c>
      <c r="B646" t="s">
        <v>249</v>
      </c>
      <c r="C646" t="s">
        <v>964</v>
      </c>
      <c r="D646" t="s">
        <v>1006</v>
      </c>
      <c r="E646" t="s">
        <v>1684</v>
      </c>
      <c r="F646" t="s">
        <v>1712</v>
      </c>
      <c r="G646" t="s">
        <v>1717</v>
      </c>
      <c r="H646" t="s">
        <v>1722</v>
      </c>
      <c r="I646" t="s">
        <v>1730</v>
      </c>
      <c r="J646" t="s">
        <v>2336</v>
      </c>
      <c r="K646" t="s">
        <v>2367</v>
      </c>
      <c r="M646" t="s">
        <v>2640</v>
      </c>
      <c r="N646" t="s">
        <v>2727</v>
      </c>
      <c r="O646" t="s">
        <v>2728</v>
      </c>
      <c r="P646">
        <v>0</v>
      </c>
      <c r="Q646">
        <v>0</v>
      </c>
      <c r="R646" t="s">
        <v>2730</v>
      </c>
      <c r="S646" t="s">
        <v>2732</v>
      </c>
      <c r="T646" t="s">
        <v>2810</v>
      </c>
      <c r="U646" t="s">
        <v>3441</v>
      </c>
      <c r="W646" t="s">
        <v>2640</v>
      </c>
      <c r="X646" t="s">
        <v>2729</v>
      </c>
    </row>
    <row r="647" spans="1:24">
      <c r="A647">
        <f>HYPERLINK("https://www.philgeps.gov.ph/GEPSNONPILOT/Tender/SplashBidNoticeAbstractUI.aspx?menuIndex=3&amp;refID=7065013&amp;Result=3","7065013")</f>
        <v>0</v>
      </c>
      <c r="B647" t="s">
        <v>113</v>
      </c>
      <c r="C647" t="s">
        <v>965</v>
      </c>
      <c r="D647" t="s">
        <v>1020</v>
      </c>
      <c r="E647" t="s">
        <v>1685</v>
      </c>
      <c r="F647" t="s">
        <v>1712</v>
      </c>
      <c r="G647" t="s">
        <v>1717</v>
      </c>
      <c r="H647" t="s">
        <v>1722</v>
      </c>
      <c r="I647" t="s">
        <v>1737</v>
      </c>
      <c r="J647" t="s">
        <v>2337</v>
      </c>
      <c r="K647" t="s">
        <v>2358</v>
      </c>
      <c r="M647" t="s">
        <v>2504</v>
      </c>
      <c r="N647" t="s">
        <v>2727</v>
      </c>
      <c r="O647" t="s">
        <v>2728</v>
      </c>
      <c r="P647">
        <v>0</v>
      </c>
      <c r="Q647">
        <v>0</v>
      </c>
      <c r="R647" t="s">
        <v>2730</v>
      </c>
      <c r="S647" t="s">
        <v>2732</v>
      </c>
      <c r="T647" t="s">
        <v>2832</v>
      </c>
      <c r="U647" t="s">
        <v>3442</v>
      </c>
      <c r="W647" t="s">
        <v>2504</v>
      </c>
      <c r="X647" t="s">
        <v>2729</v>
      </c>
    </row>
    <row r="648" spans="1:24">
      <c r="A648">
        <f>HYPERLINK("https://www.philgeps.gov.ph/GEPSNONPILOT/Tender/SplashBidNoticeAbstractUI.aspx?menuIndex=3&amp;refID=7065010&amp;Result=3","7065010")</f>
        <v>0</v>
      </c>
      <c r="B648" t="s">
        <v>320</v>
      </c>
      <c r="C648" t="s">
        <v>966</v>
      </c>
      <c r="D648" t="s">
        <v>1014</v>
      </c>
      <c r="E648" t="s">
        <v>1065</v>
      </c>
      <c r="F648" t="s">
        <v>1712</v>
      </c>
      <c r="G648" t="s">
        <v>1717</v>
      </c>
      <c r="H648" t="s">
        <v>1722</v>
      </c>
      <c r="I648" t="s">
        <v>1729</v>
      </c>
      <c r="J648" t="s">
        <v>2338</v>
      </c>
      <c r="K648" t="s">
        <v>2359</v>
      </c>
      <c r="M648" t="s">
        <v>2714</v>
      </c>
      <c r="N648" t="s">
        <v>2727</v>
      </c>
      <c r="O648" t="s">
        <v>2728</v>
      </c>
      <c r="P648">
        <v>0</v>
      </c>
      <c r="Q648">
        <v>0</v>
      </c>
      <c r="R648" t="s">
        <v>2730</v>
      </c>
      <c r="S648" t="s">
        <v>2732</v>
      </c>
      <c r="T648" t="s">
        <v>2852</v>
      </c>
      <c r="U648" t="s">
        <v>3443</v>
      </c>
      <c r="V648" t="s">
        <v>3571</v>
      </c>
      <c r="W648" t="s">
        <v>2714</v>
      </c>
      <c r="X648" t="s">
        <v>2729</v>
      </c>
    </row>
    <row r="649" spans="1:24">
      <c r="A649">
        <f>HYPERLINK("https://www.philgeps.gov.ph/GEPSNONPILOT/Tender/SplashBidNoticeAbstractUI.aspx?menuIndex=3&amp;refID=7065003&amp;Result=3","7065003")</f>
        <v>0</v>
      </c>
      <c r="B649" t="s">
        <v>321</v>
      </c>
      <c r="C649" t="s">
        <v>967</v>
      </c>
      <c r="D649" t="s">
        <v>1001</v>
      </c>
      <c r="E649" t="s">
        <v>1686</v>
      </c>
      <c r="F649" t="s">
        <v>1712</v>
      </c>
      <c r="G649" t="s">
        <v>1717</v>
      </c>
      <c r="H649" t="s">
        <v>1722</v>
      </c>
      <c r="I649" t="s">
        <v>1745</v>
      </c>
      <c r="J649" t="s">
        <v>2079</v>
      </c>
      <c r="K649" t="s">
        <v>2360</v>
      </c>
      <c r="M649" t="s">
        <v>2715</v>
      </c>
      <c r="N649" t="s">
        <v>2727</v>
      </c>
      <c r="O649" t="s">
        <v>2728</v>
      </c>
      <c r="P649">
        <v>0</v>
      </c>
      <c r="Q649">
        <v>0</v>
      </c>
      <c r="R649" t="s">
        <v>2730</v>
      </c>
      <c r="S649" t="s">
        <v>2732</v>
      </c>
      <c r="T649" t="s">
        <v>2746</v>
      </c>
      <c r="U649" t="s">
        <v>3444</v>
      </c>
      <c r="W649" t="s">
        <v>2715</v>
      </c>
      <c r="X649" t="s">
        <v>2729</v>
      </c>
    </row>
    <row r="650" spans="1:24">
      <c r="A650">
        <f>HYPERLINK("https://www.philgeps.gov.ph/GEPSNONPILOT/Tender/SplashBidNoticeAbstractUI.aspx?menuIndex=3&amp;refID=7065023&amp;Result=3","7065023")</f>
        <v>0</v>
      </c>
      <c r="B650" t="s">
        <v>322</v>
      </c>
      <c r="C650" t="s">
        <v>968</v>
      </c>
      <c r="D650" t="s">
        <v>998</v>
      </c>
      <c r="E650" t="s">
        <v>1687</v>
      </c>
      <c r="F650" t="s">
        <v>1712</v>
      </c>
      <c r="G650" t="s">
        <v>1721</v>
      </c>
      <c r="H650" t="s">
        <v>1722</v>
      </c>
      <c r="I650" t="s">
        <v>1726</v>
      </c>
      <c r="J650" t="s">
        <v>1805</v>
      </c>
      <c r="K650" t="s">
        <v>2367</v>
      </c>
      <c r="M650" t="s">
        <v>2716</v>
      </c>
      <c r="N650" t="s">
        <v>2727</v>
      </c>
      <c r="O650" t="s">
        <v>2728</v>
      </c>
      <c r="P650">
        <v>0</v>
      </c>
      <c r="Q650">
        <v>1</v>
      </c>
      <c r="R650" t="s">
        <v>2730</v>
      </c>
      <c r="S650" t="s">
        <v>2732</v>
      </c>
      <c r="T650" t="s">
        <v>2746</v>
      </c>
      <c r="U650" t="s">
        <v>3445</v>
      </c>
      <c r="W650" t="s">
        <v>2716</v>
      </c>
      <c r="X650" t="s">
        <v>2729</v>
      </c>
    </row>
    <row r="651" spans="1:24">
      <c r="A651">
        <f>HYPERLINK("https://www.philgeps.gov.ph/GEPSNONPILOT/Tender/SplashBidNoticeAbstractUI.aspx?menuIndex=3&amp;refID=7065014&amp;Result=3","7065014")</f>
        <v>0</v>
      </c>
      <c r="B651" t="s">
        <v>323</v>
      </c>
      <c r="C651" t="s">
        <v>969</v>
      </c>
      <c r="D651" t="s">
        <v>1057</v>
      </c>
      <c r="E651" t="s">
        <v>1688</v>
      </c>
      <c r="F651" t="s">
        <v>1712</v>
      </c>
      <c r="G651" t="s">
        <v>1716</v>
      </c>
      <c r="H651" t="s">
        <v>1723</v>
      </c>
      <c r="I651" t="s">
        <v>1729</v>
      </c>
      <c r="J651" t="s">
        <v>2005</v>
      </c>
      <c r="K651" t="s">
        <v>2383</v>
      </c>
      <c r="M651" t="s">
        <v>2717</v>
      </c>
      <c r="N651" t="s">
        <v>2727</v>
      </c>
      <c r="O651" t="s">
        <v>2728</v>
      </c>
      <c r="P651">
        <v>0</v>
      </c>
      <c r="Q651">
        <v>0</v>
      </c>
      <c r="R651" t="s">
        <v>2730</v>
      </c>
      <c r="S651" t="s">
        <v>2732</v>
      </c>
      <c r="T651" t="s">
        <v>2790</v>
      </c>
      <c r="U651" t="s">
        <v>3446</v>
      </c>
      <c r="W651" t="s">
        <v>2717</v>
      </c>
      <c r="X651" t="s">
        <v>2729</v>
      </c>
    </row>
    <row r="652" spans="1:24">
      <c r="A652">
        <f>HYPERLINK("https://www.philgeps.gov.ph/GEPSNONPILOT/Tender/SplashBidNoticeAbstractUI.aspx?menuIndex=3&amp;refID=7065001&amp;Result=3","7065001")</f>
        <v>0</v>
      </c>
      <c r="B652" t="s">
        <v>276</v>
      </c>
      <c r="C652" t="s">
        <v>970</v>
      </c>
      <c r="D652" t="s">
        <v>1041</v>
      </c>
      <c r="E652" t="s">
        <v>1689</v>
      </c>
      <c r="F652" t="s">
        <v>1712</v>
      </c>
      <c r="G652" t="s">
        <v>1718</v>
      </c>
      <c r="H652" t="s">
        <v>1722</v>
      </c>
      <c r="I652" t="s">
        <v>1772</v>
      </c>
      <c r="J652" t="s">
        <v>2339</v>
      </c>
      <c r="K652" t="s">
        <v>2359</v>
      </c>
      <c r="L652" t="s">
        <v>276</v>
      </c>
      <c r="M652" t="s">
        <v>2668</v>
      </c>
      <c r="N652" t="s">
        <v>2727</v>
      </c>
      <c r="O652" t="s">
        <v>2728</v>
      </c>
      <c r="P652">
        <v>0</v>
      </c>
      <c r="Q652">
        <v>0</v>
      </c>
      <c r="R652" t="s">
        <v>2730</v>
      </c>
      <c r="S652" t="s">
        <v>2732</v>
      </c>
      <c r="T652" t="s">
        <v>2844</v>
      </c>
      <c r="U652" t="s">
        <v>3447</v>
      </c>
      <c r="V652" t="s">
        <v>3557</v>
      </c>
      <c r="W652" t="s">
        <v>2668</v>
      </c>
      <c r="X652" t="s">
        <v>2729</v>
      </c>
    </row>
    <row r="653" spans="1:24">
      <c r="A653">
        <f>HYPERLINK("https://www.philgeps.gov.ph/GEPSNONPILOT/Tender/SplashBidNoticeAbstractUI.aspx?menuIndex=3&amp;refID=7065000&amp;Result=3","7065000")</f>
        <v>0</v>
      </c>
      <c r="B653" t="s">
        <v>324</v>
      </c>
      <c r="C653" t="s">
        <v>971</v>
      </c>
      <c r="D653" t="s">
        <v>1057</v>
      </c>
      <c r="E653" t="s">
        <v>1690</v>
      </c>
      <c r="F653" t="s">
        <v>1712</v>
      </c>
      <c r="G653" t="s">
        <v>1717</v>
      </c>
      <c r="H653" t="s">
        <v>1722</v>
      </c>
      <c r="I653" t="s">
        <v>1758</v>
      </c>
      <c r="J653" t="s">
        <v>2340</v>
      </c>
      <c r="K653" t="s">
        <v>2358</v>
      </c>
      <c r="M653" t="s">
        <v>2718</v>
      </c>
      <c r="N653" t="s">
        <v>2727</v>
      </c>
      <c r="O653" t="s">
        <v>2728</v>
      </c>
      <c r="P653">
        <v>0</v>
      </c>
      <c r="Q653">
        <v>0</v>
      </c>
      <c r="R653" t="s">
        <v>2730</v>
      </c>
      <c r="S653" t="s">
        <v>2732</v>
      </c>
      <c r="T653" t="s">
        <v>2811</v>
      </c>
      <c r="U653" t="s">
        <v>3448</v>
      </c>
      <c r="W653" t="s">
        <v>2718</v>
      </c>
      <c r="X653" t="s">
        <v>2729</v>
      </c>
    </row>
    <row r="654" spans="1:24">
      <c r="A654">
        <f>HYPERLINK("https://www.philgeps.gov.ph/GEPSNONPILOT/Tender/SplashBidNoticeAbstractUI.aspx?menuIndex=3&amp;refID=7065021&amp;Result=3","7065021")</f>
        <v>0</v>
      </c>
      <c r="B654" t="s">
        <v>272</v>
      </c>
      <c r="C654" t="s">
        <v>972</v>
      </c>
      <c r="D654" t="s">
        <v>997</v>
      </c>
      <c r="E654" t="s">
        <v>1691</v>
      </c>
      <c r="F654" t="s">
        <v>1712</v>
      </c>
      <c r="G654" t="s">
        <v>1718</v>
      </c>
      <c r="H654" t="s">
        <v>1722</v>
      </c>
      <c r="I654" t="s">
        <v>1773</v>
      </c>
      <c r="J654" t="s">
        <v>2341</v>
      </c>
      <c r="K654" t="s">
        <v>2367</v>
      </c>
      <c r="M654" t="s">
        <v>2664</v>
      </c>
      <c r="N654" t="s">
        <v>2727</v>
      </c>
      <c r="O654" t="s">
        <v>2728</v>
      </c>
      <c r="P654">
        <v>0</v>
      </c>
      <c r="Q654">
        <v>0</v>
      </c>
      <c r="R654" t="s">
        <v>2730</v>
      </c>
      <c r="S654" t="s">
        <v>2732</v>
      </c>
      <c r="T654" t="s">
        <v>2747</v>
      </c>
      <c r="U654" t="s">
        <v>3449</v>
      </c>
      <c r="W654" t="s">
        <v>2664</v>
      </c>
      <c r="X654" t="s">
        <v>2729</v>
      </c>
    </row>
    <row r="655" spans="1:24">
      <c r="A655">
        <f>HYPERLINK("https://www.philgeps.gov.ph/GEPSNONPILOT/Tender/SplashBidNoticeAbstractUI.aspx?menuIndex=3&amp;refID=7065011&amp;Result=3","7065011")</f>
        <v>0</v>
      </c>
      <c r="B655" t="s">
        <v>325</v>
      </c>
      <c r="C655" t="s">
        <v>973</v>
      </c>
      <c r="D655" t="s">
        <v>996</v>
      </c>
      <c r="E655" t="s">
        <v>1692</v>
      </c>
      <c r="F655" t="s">
        <v>1712</v>
      </c>
      <c r="G655" t="s">
        <v>1717</v>
      </c>
      <c r="H655" t="s">
        <v>1722</v>
      </c>
      <c r="I655" t="s">
        <v>1756</v>
      </c>
      <c r="J655" t="s">
        <v>2342</v>
      </c>
      <c r="K655" t="s">
        <v>2358</v>
      </c>
      <c r="M655" t="s">
        <v>2719</v>
      </c>
      <c r="N655" t="s">
        <v>2727</v>
      </c>
      <c r="O655" t="s">
        <v>2728</v>
      </c>
      <c r="P655">
        <v>0</v>
      </c>
      <c r="Q655">
        <v>0</v>
      </c>
      <c r="R655" t="s">
        <v>2730</v>
      </c>
      <c r="S655" t="s">
        <v>2732</v>
      </c>
      <c r="T655" t="s">
        <v>2746</v>
      </c>
      <c r="U655" t="s">
        <v>3450</v>
      </c>
      <c r="W655" t="s">
        <v>2719</v>
      </c>
      <c r="X655" t="s">
        <v>2729</v>
      </c>
    </row>
    <row r="656" spans="1:24">
      <c r="A656">
        <f>HYPERLINK("https://www.philgeps.gov.ph/GEPSNONPILOT/Tender/SplashBidNoticeAbstractUI.aspx?menuIndex=3&amp;refID=7065019&amp;Result=3","7065019")</f>
        <v>0</v>
      </c>
      <c r="B656" t="s">
        <v>258</v>
      </c>
      <c r="C656" t="s">
        <v>974</v>
      </c>
      <c r="D656" t="s">
        <v>1001</v>
      </c>
      <c r="E656" t="s">
        <v>1693</v>
      </c>
      <c r="F656" t="s">
        <v>1712</v>
      </c>
      <c r="G656" t="s">
        <v>1717</v>
      </c>
      <c r="H656" t="s">
        <v>1722</v>
      </c>
      <c r="I656" t="s">
        <v>1748</v>
      </c>
      <c r="J656" t="s">
        <v>2343</v>
      </c>
      <c r="K656" t="s">
        <v>2367</v>
      </c>
      <c r="M656" t="s">
        <v>2649</v>
      </c>
      <c r="N656" t="s">
        <v>2727</v>
      </c>
      <c r="O656" t="s">
        <v>2728</v>
      </c>
      <c r="P656">
        <v>0</v>
      </c>
      <c r="Q656">
        <v>0</v>
      </c>
      <c r="R656" t="s">
        <v>2730</v>
      </c>
      <c r="S656" t="s">
        <v>2732</v>
      </c>
      <c r="T656" t="s">
        <v>2778</v>
      </c>
      <c r="U656" t="s">
        <v>3451</v>
      </c>
      <c r="W656" t="s">
        <v>3584</v>
      </c>
      <c r="X656" t="s">
        <v>2729</v>
      </c>
    </row>
    <row r="657" spans="1:24">
      <c r="A657">
        <f>HYPERLINK("https://www.philgeps.gov.ph/GEPSNONPILOT/Tender/SplashBidNoticeAbstractUI.aspx?menuIndex=3&amp;refID=7065017&amp;Result=3","7065017")</f>
        <v>0</v>
      </c>
      <c r="B657" t="s">
        <v>166</v>
      </c>
      <c r="C657" t="s">
        <v>975</v>
      </c>
      <c r="D657" t="s">
        <v>1021</v>
      </c>
      <c r="E657" t="s">
        <v>1694</v>
      </c>
      <c r="F657" t="s">
        <v>1712</v>
      </c>
      <c r="G657" t="s">
        <v>1716</v>
      </c>
      <c r="H657" t="s">
        <v>1722</v>
      </c>
      <c r="I657" t="s">
        <v>1731</v>
      </c>
      <c r="J657" t="s">
        <v>2154</v>
      </c>
      <c r="K657" t="s">
        <v>2366</v>
      </c>
      <c r="M657" t="s">
        <v>2702</v>
      </c>
      <c r="N657" t="s">
        <v>2727</v>
      </c>
      <c r="O657" t="s">
        <v>2728</v>
      </c>
      <c r="P657">
        <v>0</v>
      </c>
      <c r="Q657">
        <v>0</v>
      </c>
      <c r="R657" t="s">
        <v>2730</v>
      </c>
      <c r="S657" t="s">
        <v>2732</v>
      </c>
      <c r="T657" t="s">
        <v>2757</v>
      </c>
      <c r="U657" t="s">
        <v>3193</v>
      </c>
      <c r="V657" t="s">
        <v>3528</v>
      </c>
      <c r="W657" t="s">
        <v>2702</v>
      </c>
      <c r="X657" t="s">
        <v>2729</v>
      </c>
    </row>
    <row r="658" spans="1:24">
      <c r="A658">
        <f>HYPERLINK("https://www.philgeps.gov.ph/GEPSNONPILOT/Tender/SplashBidNoticeAbstractUI.aspx?menuIndex=3&amp;refID=7065022&amp;Result=3","7065022")</f>
        <v>0</v>
      </c>
      <c r="B658" t="s">
        <v>261</v>
      </c>
      <c r="C658" t="s">
        <v>976</v>
      </c>
      <c r="D658" t="s">
        <v>1007</v>
      </c>
      <c r="E658" t="s">
        <v>1695</v>
      </c>
      <c r="F658" t="s">
        <v>1712</v>
      </c>
      <c r="G658" t="s">
        <v>1716</v>
      </c>
      <c r="H658" t="s">
        <v>1722</v>
      </c>
      <c r="I658" t="s">
        <v>1732</v>
      </c>
      <c r="J658" t="s">
        <v>2344</v>
      </c>
      <c r="K658" t="s">
        <v>2370</v>
      </c>
      <c r="M658" t="s">
        <v>2653</v>
      </c>
      <c r="N658" t="s">
        <v>2727</v>
      </c>
      <c r="O658" t="s">
        <v>2728</v>
      </c>
      <c r="P658">
        <v>0</v>
      </c>
      <c r="Q658">
        <v>0</v>
      </c>
      <c r="R658" t="s">
        <v>2730</v>
      </c>
      <c r="S658" t="s">
        <v>2732</v>
      </c>
      <c r="T658" t="s">
        <v>2738</v>
      </c>
      <c r="U658" t="s">
        <v>3452</v>
      </c>
      <c r="V658" t="s">
        <v>3553</v>
      </c>
      <c r="W658" t="s">
        <v>2653</v>
      </c>
      <c r="X658" t="s">
        <v>2729</v>
      </c>
    </row>
    <row r="659" spans="1:24">
      <c r="A659">
        <f>HYPERLINK("https://www.philgeps.gov.ph/GEPSNONPILOT/Tender/SplashBidNoticeAbstractUI.aspx?menuIndex=3&amp;refID=7065012&amp;Result=3","7065012")</f>
        <v>0</v>
      </c>
      <c r="B659" t="s">
        <v>298</v>
      </c>
      <c r="C659" t="s">
        <v>938</v>
      </c>
      <c r="D659" t="s">
        <v>1047</v>
      </c>
      <c r="E659" t="s">
        <v>1696</v>
      </c>
      <c r="F659" t="s">
        <v>1712</v>
      </c>
      <c r="G659" t="s">
        <v>1718</v>
      </c>
      <c r="H659" t="s">
        <v>1722</v>
      </c>
      <c r="I659" t="s">
        <v>1745</v>
      </c>
      <c r="J659" t="s">
        <v>2345</v>
      </c>
      <c r="K659" t="s">
        <v>2371</v>
      </c>
      <c r="M659" t="s">
        <v>2690</v>
      </c>
      <c r="N659" t="s">
        <v>2727</v>
      </c>
      <c r="O659" t="s">
        <v>2728</v>
      </c>
      <c r="P659">
        <v>0</v>
      </c>
      <c r="Q659">
        <v>0</v>
      </c>
      <c r="R659" t="s">
        <v>2730</v>
      </c>
      <c r="S659" t="s">
        <v>2732</v>
      </c>
      <c r="T659" t="s">
        <v>2827</v>
      </c>
      <c r="U659" t="s">
        <v>3418</v>
      </c>
      <c r="W659" t="s">
        <v>2690</v>
      </c>
      <c r="X659" t="s">
        <v>2729</v>
      </c>
    </row>
    <row r="660" spans="1:24">
      <c r="A660">
        <f>HYPERLINK("https://www.philgeps.gov.ph/GEPSNONPILOT/Tender/SplashBidNoticeAbstractUI.aspx?menuIndex=3&amp;refID=7065018&amp;Result=3","7065018")</f>
        <v>0</v>
      </c>
      <c r="B660" t="s">
        <v>326</v>
      </c>
      <c r="C660" t="s">
        <v>977</v>
      </c>
      <c r="D660" t="s">
        <v>1007</v>
      </c>
      <c r="E660" t="s">
        <v>1697</v>
      </c>
      <c r="F660" t="s">
        <v>1712</v>
      </c>
      <c r="G660" t="s">
        <v>1717</v>
      </c>
      <c r="H660" t="s">
        <v>1722</v>
      </c>
      <c r="I660" t="s">
        <v>1744</v>
      </c>
      <c r="J660" t="s">
        <v>1812</v>
      </c>
      <c r="K660" t="s">
        <v>2366</v>
      </c>
      <c r="M660" t="s">
        <v>2720</v>
      </c>
      <c r="N660" t="s">
        <v>2727</v>
      </c>
      <c r="O660" t="s">
        <v>2728</v>
      </c>
      <c r="P660">
        <v>0</v>
      </c>
      <c r="Q660">
        <v>0</v>
      </c>
      <c r="R660" t="s">
        <v>2730</v>
      </c>
      <c r="S660" t="s">
        <v>2732</v>
      </c>
      <c r="T660" t="s">
        <v>2853</v>
      </c>
      <c r="U660" t="s">
        <v>3453</v>
      </c>
      <c r="W660" t="s">
        <v>2720</v>
      </c>
      <c r="X660" t="s">
        <v>2729</v>
      </c>
    </row>
    <row r="661" spans="1:24">
      <c r="A661">
        <f>HYPERLINK("https://www.philgeps.gov.ph/GEPSNONPILOT/Tender/SplashBidNoticeAbstractUI.aspx?menuIndex=3&amp;refID=7065009&amp;Result=3","7065009")</f>
        <v>0</v>
      </c>
      <c r="B661" t="s">
        <v>327</v>
      </c>
      <c r="C661" t="s">
        <v>978</v>
      </c>
      <c r="D661" t="s">
        <v>996</v>
      </c>
      <c r="E661" t="s">
        <v>1698</v>
      </c>
      <c r="F661" t="s">
        <v>1712</v>
      </c>
      <c r="G661" t="s">
        <v>1716</v>
      </c>
      <c r="H661" t="s">
        <v>1722</v>
      </c>
      <c r="I661" t="s">
        <v>1771</v>
      </c>
      <c r="J661" t="s">
        <v>2346</v>
      </c>
      <c r="K661" t="s">
        <v>2383</v>
      </c>
      <c r="M661" t="s">
        <v>2721</v>
      </c>
      <c r="N661" t="s">
        <v>2727</v>
      </c>
      <c r="O661" t="s">
        <v>2728</v>
      </c>
      <c r="P661">
        <v>0</v>
      </c>
      <c r="Q661">
        <v>0</v>
      </c>
      <c r="R661" t="s">
        <v>2730</v>
      </c>
      <c r="S661" t="s">
        <v>2732</v>
      </c>
      <c r="T661" t="s">
        <v>2793</v>
      </c>
      <c r="U661" t="s">
        <v>3454</v>
      </c>
      <c r="W661" t="s">
        <v>3588</v>
      </c>
      <c r="X661" t="s">
        <v>2729</v>
      </c>
    </row>
    <row r="662" spans="1:24">
      <c r="A662">
        <f>HYPERLINK("https://www.philgeps.gov.ph/GEPSNONPILOT/Tender/SplashBidNoticeAbstractUI.aspx?menuIndex=3&amp;refID=7065025&amp;Result=3","7065025")</f>
        <v>0</v>
      </c>
      <c r="B662" t="s">
        <v>207</v>
      </c>
      <c r="C662" t="s">
        <v>979</v>
      </c>
      <c r="D662" t="s">
        <v>1021</v>
      </c>
      <c r="E662" t="s">
        <v>1699</v>
      </c>
      <c r="F662" t="s">
        <v>1712</v>
      </c>
      <c r="G662" t="s">
        <v>1717</v>
      </c>
      <c r="H662" t="s">
        <v>1722</v>
      </c>
      <c r="I662" t="s">
        <v>1758</v>
      </c>
      <c r="J662" t="s">
        <v>2347</v>
      </c>
      <c r="K662" t="s">
        <v>2366</v>
      </c>
      <c r="M662" t="s">
        <v>2598</v>
      </c>
      <c r="N662" t="s">
        <v>2727</v>
      </c>
      <c r="O662" t="s">
        <v>2728</v>
      </c>
      <c r="P662">
        <v>0</v>
      </c>
      <c r="Q662">
        <v>0</v>
      </c>
      <c r="R662" t="s">
        <v>2730</v>
      </c>
      <c r="S662" t="s">
        <v>2732</v>
      </c>
      <c r="T662" t="s">
        <v>2851</v>
      </c>
      <c r="U662" t="s">
        <v>3455</v>
      </c>
      <c r="W662" t="s">
        <v>2598</v>
      </c>
      <c r="X662" t="s">
        <v>2729</v>
      </c>
    </row>
    <row r="663" spans="1:24">
      <c r="A663">
        <f>HYPERLINK("https://www.philgeps.gov.ph/GEPSNONPILOT/Tender/SplashBidNoticeAbstractUI.aspx?menuIndex=3&amp;refID=7065031&amp;Result=3","7065031")</f>
        <v>0</v>
      </c>
      <c r="B663" t="s">
        <v>328</v>
      </c>
      <c r="C663" t="s">
        <v>980</v>
      </c>
      <c r="D663" t="s">
        <v>1057</v>
      </c>
      <c r="E663" t="s">
        <v>1700</v>
      </c>
      <c r="F663" t="s">
        <v>1712</v>
      </c>
      <c r="G663" t="s">
        <v>1719</v>
      </c>
      <c r="H663" t="s">
        <v>1722</v>
      </c>
      <c r="I663" t="s">
        <v>1727</v>
      </c>
      <c r="J663" t="s">
        <v>2348</v>
      </c>
      <c r="K663" t="s">
        <v>2367</v>
      </c>
      <c r="M663" t="s">
        <v>2722</v>
      </c>
      <c r="N663" t="s">
        <v>2727</v>
      </c>
      <c r="O663" t="s">
        <v>2728</v>
      </c>
      <c r="P663">
        <v>0</v>
      </c>
      <c r="Q663">
        <v>0</v>
      </c>
      <c r="R663" t="s">
        <v>2730</v>
      </c>
      <c r="S663" t="s">
        <v>2732</v>
      </c>
      <c r="T663" t="s">
        <v>2774</v>
      </c>
      <c r="U663" t="s">
        <v>3456</v>
      </c>
      <c r="W663" t="s">
        <v>2722</v>
      </c>
      <c r="X663" t="s">
        <v>2729</v>
      </c>
    </row>
    <row r="664" spans="1:24">
      <c r="A664">
        <f>HYPERLINK("https://www.philgeps.gov.ph/GEPSNONPILOT/Tender/SplashBidNoticeAbstractUI.aspx?menuIndex=3&amp;refID=7065033&amp;Result=3","7065033")</f>
        <v>0</v>
      </c>
      <c r="B664" t="s">
        <v>249</v>
      </c>
      <c r="C664" t="s">
        <v>981</v>
      </c>
      <c r="D664" t="s">
        <v>1006</v>
      </c>
      <c r="E664" t="s">
        <v>1701</v>
      </c>
      <c r="F664" t="s">
        <v>1712</v>
      </c>
      <c r="G664" t="s">
        <v>1717</v>
      </c>
      <c r="H664" t="s">
        <v>1722</v>
      </c>
      <c r="I664" t="s">
        <v>1730</v>
      </c>
      <c r="J664" t="s">
        <v>2349</v>
      </c>
      <c r="K664" t="s">
        <v>2367</v>
      </c>
      <c r="M664" t="s">
        <v>2640</v>
      </c>
      <c r="N664" t="s">
        <v>2727</v>
      </c>
      <c r="O664" t="s">
        <v>2728</v>
      </c>
      <c r="P664">
        <v>0</v>
      </c>
      <c r="Q664">
        <v>0</v>
      </c>
      <c r="R664" t="s">
        <v>2730</v>
      </c>
      <c r="S664" t="s">
        <v>2732</v>
      </c>
      <c r="T664" t="s">
        <v>2810</v>
      </c>
      <c r="U664" t="s">
        <v>3457</v>
      </c>
      <c r="W664" t="s">
        <v>2640</v>
      </c>
      <c r="X664" t="s">
        <v>2729</v>
      </c>
    </row>
    <row r="665" spans="1:24">
      <c r="A665">
        <f>HYPERLINK("https://www.philgeps.gov.ph/GEPSNONPILOT/Tender/SplashBidNoticeAbstractUI.aspx?menuIndex=3&amp;refID=7065037&amp;Result=3","7065037")</f>
        <v>0</v>
      </c>
      <c r="B665" t="s">
        <v>323</v>
      </c>
      <c r="C665" t="s">
        <v>982</v>
      </c>
      <c r="D665" t="s">
        <v>1057</v>
      </c>
      <c r="E665" t="s">
        <v>1702</v>
      </c>
      <c r="F665" t="s">
        <v>1712</v>
      </c>
      <c r="G665" t="s">
        <v>1716</v>
      </c>
      <c r="H665" t="s">
        <v>1722</v>
      </c>
      <c r="I665" t="s">
        <v>1726</v>
      </c>
      <c r="J665" t="s">
        <v>1857</v>
      </c>
      <c r="K665" t="s">
        <v>2366</v>
      </c>
      <c r="M665" t="s">
        <v>2717</v>
      </c>
      <c r="N665" t="s">
        <v>2727</v>
      </c>
      <c r="O665" t="s">
        <v>2728</v>
      </c>
      <c r="P665">
        <v>0</v>
      </c>
      <c r="Q665">
        <v>2</v>
      </c>
      <c r="R665" t="s">
        <v>2730</v>
      </c>
      <c r="S665" t="s">
        <v>2732</v>
      </c>
      <c r="T665" t="s">
        <v>2790</v>
      </c>
      <c r="U665" t="s">
        <v>3458</v>
      </c>
      <c r="W665" t="s">
        <v>2717</v>
      </c>
      <c r="X665" t="s">
        <v>2729</v>
      </c>
    </row>
    <row r="666" spans="1:24">
      <c r="A666">
        <f>HYPERLINK("https://www.philgeps.gov.ph/GEPSNONPILOT/Tender/SplashBidNoticeAbstractUI.aspx?menuIndex=3&amp;refID=7065040&amp;Result=3","7065040")</f>
        <v>0</v>
      </c>
      <c r="B666" t="s">
        <v>293</v>
      </c>
      <c r="C666" t="s">
        <v>983</v>
      </c>
      <c r="D666" t="s">
        <v>1022</v>
      </c>
      <c r="E666" t="s">
        <v>1703</v>
      </c>
      <c r="F666" t="s">
        <v>1712</v>
      </c>
      <c r="G666" t="s">
        <v>1717</v>
      </c>
      <c r="H666" t="s">
        <v>1722</v>
      </c>
      <c r="I666" t="s">
        <v>1730</v>
      </c>
      <c r="J666" t="s">
        <v>2350</v>
      </c>
      <c r="K666" t="s">
        <v>2409</v>
      </c>
      <c r="M666" t="s">
        <v>2685</v>
      </c>
      <c r="N666" t="s">
        <v>2727</v>
      </c>
      <c r="O666" t="s">
        <v>2728</v>
      </c>
      <c r="P666">
        <v>0</v>
      </c>
      <c r="Q666">
        <v>0</v>
      </c>
      <c r="R666" t="s">
        <v>2730</v>
      </c>
      <c r="S666" t="s">
        <v>2732</v>
      </c>
      <c r="T666" t="s">
        <v>2763</v>
      </c>
      <c r="U666" t="s">
        <v>3459</v>
      </c>
      <c r="V666" t="s">
        <v>3572</v>
      </c>
      <c r="W666" t="s">
        <v>2685</v>
      </c>
      <c r="X666" t="s">
        <v>2729</v>
      </c>
    </row>
    <row r="667" spans="1:24">
      <c r="A667">
        <f>HYPERLINK("https://www.philgeps.gov.ph/GEPSNONPILOT/Tender/SplashBidNoticeAbstractUI.aspx?menuIndex=3&amp;refID=7065026&amp;Result=3","7065026")</f>
        <v>0</v>
      </c>
      <c r="B667" t="s">
        <v>239</v>
      </c>
      <c r="C667" t="s">
        <v>984</v>
      </c>
      <c r="D667" t="s">
        <v>1014</v>
      </c>
      <c r="E667" t="s">
        <v>1704</v>
      </c>
      <c r="F667" t="s">
        <v>1712</v>
      </c>
      <c r="G667" t="s">
        <v>1718</v>
      </c>
      <c r="H667" t="s">
        <v>1722</v>
      </c>
      <c r="I667" t="s">
        <v>1727</v>
      </c>
      <c r="J667" t="s">
        <v>2351</v>
      </c>
      <c r="K667" t="s">
        <v>2366</v>
      </c>
      <c r="M667" t="s">
        <v>2630</v>
      </c>
      <c r="N667" t="s">
        <v>2727</v>
      </c>
      <c r="O667" t="s">
        <v>2728</v>
      </c>
      <c r="P667">
        <v>0</v>
      </c>
      <c r="Q667">
        <v>0</v>
      </c>
      <c r="R667" t="s">
        <v>2730</v>
      </c>
      <c r="S667" t="s">
        <v>2732</v>
      </c>
      <c r="T667" t="s">
        <v>2747</v>
      </c>
      <c r="U667" t="s">
        <v>3460</v>
      </c>
      <c r="W667" t="s">
        <v>2630</v>
      </c>
      <c r="X667" t="s">
        <v>2729</v>
      </c>
    </row>
    <row r="668" spans="1:24">
      <c r="A668">
        <f>HYPERLINK("https://www.philgeps.gov.ph/GEPSNONPILOT/Tender/SplashBidNoticeAbstractUI.aspx?menuIndex=3&amp;refID=7065041&amp;Result=3","7065041")</f>
        <v>0</v>
      </c>
      <c r="B668" t="s">
        <v>184</v>
      </c>
      <c r="C668" t="s">
        <v>985</v>
      </c>
      <c r="D668" t="s">
        <v>1006</v>
      </c>
      <c r="E668" t="s">
        <v>985</v>
      </c>
      <c r="F668" t="s">
        <v>1712</v>
      </c>
      <c r="G668" t="s">
        <v>1717</v>
      </c>
      <c r="H668" t="s">
        <v>1722</v>
      </c>
      <c r="I668" t="s">
        <v>1804</v>
      </c>
      <c r="J668" t="s">
        <v>2352</v>
      </c>
      <c r="K668" t="s">
        <v>2359</v>
      </c>
      <c r="M668" t="s">
        <v>2575</v>
      </c>
      <c r="N668" t="s">
        <v>2727</v>
      </c>
      <c r="O668" t="s">
        <v>2728</v>
      </c>
      <c r="P668">
        <v>0</v>
      </c>
      <c r="Q668">
        <v>0</v>
      </c>
      <c r="R668" t="s">
        <v>2730</v>
      </c>
      <c r="S668" t="s">
        <v>2732</v>
      </c>
      <c r="T668" t="s">
        <v>2844</v>
      </c>
      <c r="U668" t="s">
        <v>3461</v>
      </c>
      <c r="V668" t="s">
        <v>3573</v>
      </c>
      <c r="W668" t="s">
        <v>2575</v>
      </c>
      <c r="X668" t="s">
        <v>2729</v>
      </c>
    </row>
    <row r="669" spans="1:24">
      <c r="A669">
        <f>HYPERLINK("https://www.philgeps.gov.ph/GEPSNONPILOT/Tender/SplashBidNoticeAbstractUI.aspx?menuIndex=3&amp;refID=7065028&amp;Result=3","7065028")</f>
        <v>0</v>
      </c>
      <c r="B669" t="s">
        <v>125</v>
      </c>
      <c r="C669" t="s">
        <v>986</v>
      </c>
      <c r="D669" t="s">
        <v>1040</v>
      </c>
      <c r="E669" t="s">
        <v>1705</v>
      </c>
      <c r="F669" t="s">
        <v>1712</v>
      </c>
      <c r="G669" t="s">
        <v>1716</v>
      </c>
      <c r="H669" t="s">
        <v>1722</v>
      </c>
      <c r="I669" t="s">
        <v>1732</v>
      </c>
      <c r="J669" t="s">
        <v>2353</v>
      </c>
      <c r="K669" t="s">
        <v>2371</v>
      </c>
      <c r="M669" t="s">
        <v>2516</v>
      </c>
      <c r="N669" t="s">
        <v>2727</v>
      </c>
      <c r="O669" t="s">
        <v>2728</v>
      </c>
      <c r="P669">
        <v>0</v>
      </c>
      <c r="Q669">
        <v>0</v>
      </c>
      <c r="R669" t="s">
        <v>2730</v>
      </c>
      <c r="S669" t="s">
        <v>2732</v>
      </c>
      <c r="T669" t="s">
        <v>2805</v>
      </c>
      <c r="U669" t="s">
        <v>3462</v>
      </c>
      <c r="W669" t="s">
        <v>2516</v>
      </c>
      <c r="X669" t="s">
        <v>2729</v>
      </c>
    </row>
    <row r="670" spans="1:24">
      <c r="A670">
        <f>HYPERLINK("https://www.philgeps.gov.ph/GEPSNONPILOT/Tender/SplashBidNoticeAbstractUI.aspx?menuIndex=3&amp;refID=7065039&amp;Result=3","7065039")</f>
        <v>0</v>
      </c>
      <c r="B670" t="s">
        <v>314</v>
      </c>
      <c r="C670" t="s">
        <v>987</v>
      </c>
      <c r="D670" t="s">
        <v>1061</v>
      </c>
      <c r="E670" t="s">
        <v>1706</v>
      </c>
      <c r="F670" t="s">
        <v>1712</v>
      </c>
      <c r="G670" t="s">
        <v>1718</v>
      </c>
      <c r="H670" t="s">
        <v>1722</v>
      </c>
      <c r="I670" t="s">
        <v>1744</v>
      </c>
      <c r="J670" t="s">
        <v>2213</v>
      </c>
      <c r="K670" t="s">
        <v>2358</v>
      </c>
      <c r="M670" t="s">
        <v>2708</v>
      </c>
      <c r="N670" t="s">
        <v>2727</v>
      </c>
      <c r="O670" t="s">
        <v>2728</v>
      </c>
      <c r="P670">
        <v>0</v>
      </c>
      <c r="Q670">
        <v>0</v>
      </c>
      <c r="R670" t="s">
        <v>2730</v>
      </c>
      <c r="S670" t="s">
        <v>2732</v>
      </c>
      <c r="T670" t="s">
        <v>2745</v>
      </c>
      <c r="U670" t="s">
        <v>3463</v>
      </c>
      <c r="V670" t="s">
        <v>3569</v>
      </c>
      <c r="W670" t="s">
        <v>2708</v>
      </c>
      <c r="X670" t="s">
        <v>2729</v>
      </c>
    </row>
    <row r="671" spans="1:24">
      <c r="A671">
        <f>HYPERLINK("https://www.philgeps.gov.ph/GEPSNONPILOT/Tender/SplashBidNoticeAbstractUI.aspx?menuIndex=3&amp;refID=7065050&amp;Result=3","7065050")</f>
        <v>0</v>
      </c>
      <c r="B671" t="s">
        <v>329</v>
      </c>
      <c r="C671" t="s">
        <v>988</v>
      </c>
      <c r="D671" t="s">
        <v>1060</v>
      </c>
      <c r="E671" t="s">
        <v>1707</v>
      </c>
      <c r="F671" t="s">
        <v>1712</v>
      </c>
      <c r="G671" t="s">
        <v>1717</v>
      </c>
      <c r="H671" t="s">
        <v>1722</v>
      </c>
      <c r="I671" t="s">
        <v>1786</v>
      </c>
      <c r="J671" t="s">
        <v>2354</v>
      </c>
      <c r="K671" t="s">
        <v>2366</v>
      </c>
      <c r="M671" t="s">
        <v>2723</v>
      </c>
      <c r="N671" t="s">
        <v>2727</v>
      </c>
      <c r="O671" t="s">
        <v>2728</v>
      </c>
      <c r="P671">
        <v>0</v>
      </c>
      <c r="Q671">
        <v>0</v>
      </c>
      <c r="R671" t="s">
        <v>2730</v>
      </c>
      <c r="S671" t="s">
        <v>2732</v>
      </c>
      <c r="T671" t="s">
        <v>2844</v>
      </c>
      <c r="U671" t="s">
        <v>3464</v>
      </c>
      <c r="W671" t="s">
        <v>2723</v>
      </c>
      <c r="X671" t="s">
        <v>2729</v>
      </c>
    </row>
    <row r="672" spans="1:24">
      <c r="A672">
        <f>HYPERLINK("https://www.philgeps.gov.ph/GEPSNONPILOT/Tender/SplashBidNoticeAbstractUI.aspx?menuIndex=3&amp;refID=7065052&amp;Result=3","7065052")</f>
        <v>0</v>
      </c>
      <c r="B672" t="s">
        <v>330</v>
      </c>
      <c r="C672" t="s">
        <v>989</v>
      </c>
      <c r="E672" t="s">
        <v>1708</v>
      </c>
      <c r="F672" t="s">
        <v>1713</v>
      </c>
      <c r="G672" t="s">
        <v>1718</v>
      </c>
      <c r="H672" t="s">
        <v>1722</v>
      </c>
      <c r="I672" t="s">
        <v>1750</v>
      </c>
      <c r="J672" t="s">
        <v>2355</v>
      </c>
      <c r="K672" t="s">
        <v>2367</v>
      </c>
      <c r="M672" t="s">
        <v>2724</v>
      </c>
      <c r="N672" t="s">
        <v>2727</v>
      </c>
      <c r="O672" t="s">
        <v>2728</v>
      </c>
      <c r="P672">
        <v>0</v>
      </c>
      <c r="Q672">
        <v>0</v>
      </c>
      <c r="R672" t="s">
        <v>2730</v>
      </c>
      <c r="S672" t="s">
        <v>2732</v>
      </c>
      <c r="T672" t="s">
        <v>2767</v>
      </c>
      <c r="U672" t="s">
        <v>3465</v>
      </c>
      <c r="W672" t="s">
        <v>2724</v>
      </c>
      <c r="X672" t="s">
        <v>2729</v>
      </c>
    </row>
    <row r="673" spans="1:24">
      <c r="A673">
        <f>HYPERLINK("https://www.philgeps.gov.ph/GEPSNONPILOT/Tender/SplashBidNoticeAbstractUI.aspx?menuIndex=3&amp;refID=7065046&amp;Result=3","7065046")</f>
        <v>0</v>
      </c>
      <c r="B673" t="s">
        <v>331</v>
      </c>
      <c r="C673" t="s">
        <v>990</v>
      </c>
      <c r="D673" t="s">
        <v>1014</v>
      </c>
      <c r="E673" t="s">
        <v>1709</v>
      </c>
      <c r="F673" t="s">
        <v>1712</v>
      </c>
      <c r="G673" t="s">
        <v>1717</v>
      </c>
      <c r="H673" t="s">
        <v>1722</v>
      </c>
      <c r="I673" t="s">
        <v>1734</v>
      </c>
      <c r="J673" t="s">
        <v>1825</v>
      </c>
      <c r="K673" t="s">
        <v>2372</v>
      </c>
      <c r="M673" t="s">
        <v>2725</v>
      </c>
      <c r="N673" t="s">
        <v>2727</v>
      </c>
      <c r="O673" t="s">
        <v>2728</v>
      </c>
      <c r="P673">
        <v>0</v>
      </c>
      <c r="Q673">
        <v>1</v>
      </c>
      <c r="R673" t="s">
        <v>2730</v>
      </c>
      <c r="S673" t="s">
        <v>2732</v>
      </c>
      <c r="T673" t="s">
        <v>2854</v>
      </c>
      <c r="U673" t="s">
        <v>3466</v>
      </c>
      <c r="W673" t="s">
        <v>2725</v>
      </c>
      <c r="X673" t="s">
        <v>2729</v>
      </c>
    </row>
    <row r="674" spans="1:24">
      <c r="A674">
        <f>HYPERLINK("https://www.philgeps.gov.ph/GEPSNONPILOT/Tender/SplashBidNoticeAbstractUI.aspx?menuIndex=3&amp;refID=7065036&amp;Result=3","7065036")</f>
        <v>0</v>
      </c>
      <c r="B674" t="s">
        <v>194</v>
      </c>
      <c r="C674" t="s">
        <v>991</v>
      </c>
      <c r="D674" t="s">
        <v>1013</v>
      </c>
      <c r="E674" t="s">
        <v>1710</v>
      </c>
      <c r="F674" t="s">
        <v>1712</v>
      </c>
      <c r="G674" t="s">
        <v>1716</v>
      </c>
      <c r="H674" t="s">
        <v>1722</v>
      </c>
      <c r="I674" t="s">
        <v>1727</v>
      </c>
      <c r="J674" t="s">
        <v>2356</v>
      </c>
      <c r="K674" t="s">
        <v>2367</v>
      </c>
      <c r="M674" t="s">
        <v>2585</v>
      </c>
      <c r="N674" t="s">
        <v>2727</v>
      </c>
      <c r="O674" t="s">
        <v>2728</v>
      </c>
      <c r="P674">
        <v>0</v>
      </c>
      <c r="Q674">
        <v>0</v>
      </c>
      <c r="R674" t="s">
        <v>2730</v>
      </c>
      <c r="S674" t="s">
        <v>2732</v>
      </c>
      <c r="T674" t="s">
        <v>2851</v>
      </c>
      <c r="U674" t="s">
        <v>3467</v>
      </c>
      <c r="W674" t="s">
        <v>3587</v>
      </c>
      <c r="X674" t="s">
        <v>2729</v>
      </c>
    </row>
    <row r="675" spans="1:24">
      <c r="A675">
        <f>HYPERLINK("https://www.philgeps.gov.ph/GEPSNONPILOT/Tender/SplashBidNoticeAbstractUI.aspx?menuIndex=3&amp;refID=7065048&amp;Result=3","7065048")</f>
        <v>0</v>
      </c>
      <c r="B675" t="s">
        <v>332</v>
      </c>
      <c r="C675" t="s">
        <v>992</v>
      </c>
      <c r="D675" t="s">
        <v>1008</v>
      </c>
      <c r="E675" t="s">
        <v>1711</v>
      </c>
      <c r="F675" t="s">
        <v>1713</v>
      </c>
      <c r="G675" t="s">
        <v>1717</v>
      </c>
      <c r="H675" t="s">
        <v>1722</v>
      </c>
      <c r="I675" t="s">
        <v>1742</v>
      </c>
      <c r="J675" t="s">
        <v>2357</v>
      </c>
      <c r="K675" t="s">
        <v>2358</v>
      </c>
      <c r="L675" t="s">
        <v>332</v>
      </c>
      <c r="M675" t="s">
        <v>2726</v>
      </c>
      <c r="N675" t="s">
        <v>2727</v>
      </c>
      <c r="O675" t="s">
        <v>2728</v>
      </c>
      <c r="P675">
        <v>0</v>
      </c>
      <c r="Q675">
        <v>0</v>
      </c>
      <c r="R675" t="s">
        <v>2730</v>
      </c>
      <c r="S675" t="s">
        <v>2732</v>
      </c>
      <c r="T675" t="s">
        <v>2776</v>
      </c>
      <c r="U675" t="s">
        <v>3468</v>
      </c>
      <c r="V675" t="s">
        <v>3574</v>
      </c>
      <c r="W675" t="s">
        <v>2726</v>
      </c>
      <c r="X675" t="s">
        <v>2729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2020-06-25T02:10:01Z</dcterms:created>
  <dcterms:modified xsi:type="dcterms:W3CDTF">2020-06-25T02:10:01Z</dcterms:modified>
</cp:coreProperties>
</file>