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1980" windowHeight="121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1" i="1" l="1"/>
  <c r="B10" i="1" s="1"/>
  <c r="M10" i="1"/>
  <c r="M9" i="1"/>
  <c r="M8" i="1"/>
  <c r="M7" i="1"/>
  <c r="M6" i="1"/>
  <c r="M5" i="1"/>
  <c r="M4" i="1"/>
  <c r="M3" i="1"/>
  <c r="B3" i="1"/>
  <c r="K3" i="1" s="1"/>
  <c r="B8" i="1"/>
  <c r="A8" i="1" s="1"/>
  <c r="K8" i="1"/>
  <c r="I8" i="1"/>
  <c r="Q8" i="1" s="1"/>
  <c r="T8" i="1"/>
  <c r="B9" i="1" l="1"/>
  <c r="A9" i="1" s="1"/>
  <c r="B5" i="1"/>
  <c r="A10" i="1"/>
  <c r="K10" i="1"/>
  <c r="B7" i="1"/>
  <c r="A3" i="1"/>
  <c r="B6" i="1"/>
  <c r="B4" i="1"/>
  <c r="I9" i="1"/>
  <c r="I3" i="1"/>
  <c r="Q3" i="1" s="1"/>
  <c r="I10" i="1"/>
  <c r="Q10" i="1"/>
  <c r="T3" i="1"/>
  <c r="V16" i="1"/>
  <c r="T10" i="1"/>
  <c r="K9" i="1" l="1"/>
  <c r="K5" i="1"/>
  <c r="A5" i="1"/>
  <c r="A4" i="1"/>
  <c r="K4" i="1"/>
  <c r="K6" i="1"/>
  <c r="A6" i="1"/>
  <c r="V17" i="1"/>
  <c r="A7" i="1"/>
  <c r="K7" i="1"/>
  <c r="Q9" i="1"/>
  <c r="T9" i="1" s="1"/>
  <c r="I5" i="1"/>
  <c r="Q5" i="1" s="1"/>
  <c r="T5" i="1" s="1"/>
  <c r="I6" i="1"/>
  <c r="Q6" i="1" s="1"/>
  <c r="I7" i="1"/>
  <c r="Q7" i="1"/>
  <c r="I4" i="1"/>
  <c r="Q4" i="1"/>
  <c r="T6" i="1"/>
  <c r="T7" i="1"/>
  <c r="T4" i="1"/>
  <c r="S13" i="1"/>
  <c r="S16" i="1"/>
  <c r="S17" i="1"/>
  <c r="S20" i="1"/>
  <c r="S5" i="1"/>
  <c r="U5" i="1"/>
  <c r="V5" i="1"/>
  <c r="W5" i="1"/>
  <c r="S8" i="1"/>
  <c r="U8" i="1"/>
  <c r="V8" i="1"/>
  <c r="W8" i="1"/>
  <c r="S3" i="1"/>
  <c r="U3" i="1"/>
  <c r="V3" i="1"/>
  <c r="W3" i="1"/>
  <c r="S9" i="1"/>
  <c r="U9" i="1"/>
  <c r="V9" i="1"/>
  <c r="W9" i="1"/>
  <c r="S10" i="1"/>
  <c r="U10" i="1"/>
  <c r="V10" i="1"/>
  <c r="W10" i="1"/>
  <c r="S6" i="1"/>
  <c r="U6" i="1"/>
  <c r="V6" i="1"/>
  <c r="W6" i="1"/>
  <c r="S7" i="1"/>
  <c r="U7" i="1"/>
  <c r="V7" i="1"/>
  <c r="W7" i="1"/>
  <c r="S4" i="1"/>
  <c r="U4" i="1"/>
  <c r="V4" i="1"/>
  <c r="W4" i="1"/>
  <c r="W13" i="1"/>
  <c r="W16" i="1"/>
  <c r="W20" i="1"/>
  <c r="Y4" i="1"/>
  <c r="Z4" i="1"/>
  <c r="AA4" i="1"/>
  <c r="Y7" i="1"/>
  <c r="Z7" i="1"/>
  <c r="AA7" i="1"/>
  <c r="Y6" i="1"/>
  <c r="Z6" i="1"/>
  <c r="AA6" i="1"/>
  <c r="Y10" i="1"/>
  <c r="Z10" i="1"/>
  <c r="AA10" i="1"/>
  <c r="Y9" i="1"/>
  <c r="Z9" i="1"/>
  <c r="AA9" i="1"/>
  <c r="Y3" i="1"/>
  <c r="Z3" i="1"/>
  <c r="AA3" i="1"/>
  <c r="Y8" i="1"/>
  <c r="Z8" i="1"/>
  <c r="AA8" i="1"/>
  <c r="W17" i="1"/>
  <c r="Y5" i="1"/>
  <c r="Z5" i="1"/>
  <c r="AA5" i="1"/>
</calcChain>
</file>

<file path=xl/sharedStrings.xml><?xml version="1.0" encoding="utf-8"?>
<sst xmlns="http://schemas.openxmlformats.org/spreadsheetml/2006/main" count="84" uniqueCount="33">
  <si>
    <t>BondID</t>
  </si>
  <si>
    <t>Description</t>
  </si>
  <si>
    <t>Coupons</t>
  </si>
  <si>
    <t>DayCounter</t>
  </si>
  <si>
    <t>ScheduleID</t>
  </si>
  <si>
    <t>Tenor</t>
  </si>
  <si>
    <t>Calendar</t>
  </si>
  <si>
    <t>Convention</t>
  </si>
  <si>
    <t>GenRule</t>
  </si>
  <si>
    <t>RateHelperId</t>
  </si>
  <si>
    <t>SEK</t>
  </si>
  <si>
    <t>30E/360</t>
  </si>
  <si>
    <t>1Y</t>
  </si>
  <si>
    <t>Sweden</t>
  </si>
  <si>
    <t>Following</t>
  </si>
  <si>
    <t>Backward</t>
  </si>
  <si>
    <t>BondEngine</t>
  </si>
  <si>
    <t>Error</t>
  </si>
  <si>
    <t>Set Engine</t>
  </si>
  <si>
    <t>PiecewiseCurve</t>
  </si>
  <si>
    <t>Month</t>
  </si>
  <si>
    <t>FlatCurve</t>
  </si>
  <si>
    <t>6M</t>
  </si>
  <si>
    <t>3M</t>
  </si>
  <si>
    <t>Clean Price</t>
  </si>
  <si>
    <t>Effective Date</t>
  </si>
  <si>
    <t>Termination Date</t>
  </si>
  <si>
    <t>Settl Days</t>
  </si>
  <si>
    <t>Face Amount</t>
  </si>
  <si>
    <t>Curr</t>
  </si>
  <si>
    <t>TermDate Conv</t>
  </si>
  <si>
    <t>Accr</t>
  </si>
  <si>
    <t>Ref Clean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</si>
</sst>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00"/>
    <numFmt numFmtId="181" formatCode="0.000000000"/>
  </numFmts>
  <fonts count="2" x14ac:knownFonts="1">
    <font>
      <sz val="8"/>
      <name val="Arial"/>
    </font>
    <font>
      <sz val="8"/>
      <name val="Courier New"/>
      <family val="3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15" fontId="1" fillId="0" borderId="0" xfId="0" applyNumberFormat="1" applyFont="1" applyBorder="1"/>
    <xf numFmtId="0" fontId="1" fillId="0" borderId="0" xfId="0" applyFont="1" applyBorder="1"/>
    <xf numFmtId="10" fontId="1" fillId="0" borderId="0" xfId="0" applyNumberFormat="1" applyFont="1" applyBorder="1"/>
    <xf numFmtId="0" fontId="1" fillId="0" borderId="1" xfId="0" applyFont="1" applyBorder="1"/>
    <xf numFmtId="178" fontId="1" fillId="0" borderId="0" xfId="0" applyNumberFormat="1" applyFont="1" applyBorder="1"/>
    <xf numFmtId="178" fontId="1" fillId="0" borderId="2" xfId="0" applyNumberFormat="1" applyFont="1" applyBorder="1"/>
    <xf numFmtId="0" fontId="1" fillId="0" borderId="3" xfId="0" applyFont="1" applyBorder="1"/>
    <xf numFmtId="178" fontId="1" fillId="0" borderId="4" xfId="0" applyNumberFormat="1" applyFont="1" applyBorder="1"/>
    <xf numFmtId="178" fontId="1" fillId="0" borderId="5" xfId="0" applyNumberFormat="1" applyFont="1" applyBorder="1"/>
    <xf numFmtId="15" fontId="1" fillId="0" borderId="6" xfId="0" applyNumberFormat="1" applyFont="1" applyBorder="1"/>
    <xf numFmtId="181" fontId="1" fillId="0" borderId="7" xfId="0" applyNumberFormat="1" applyFont="1" applyBorder="1"/>
    <xf numFmtId="15" fontId="1" fillId="0" borderId="8" xfId="0" applyNumberFormat="1" applyFont="1" applyBorder="1"/>
    <xf numFmtId="181" fontId="1" fillId="0" borderId="5" xfId="0" applyNumberFormat="1" applyFont="1" applyBorder="1"/>
    <xf numFmtId="15" fontId="1" fillId="0" borderId="1" xfId="0" applyNumberFormat="1" applyFont="1" applyBorder="1"/>
    <xf numFmtId="0" fontId="1" fillId="0" borderId="2" xfId="0" applyFont="1" applyBorder="1"/>
    <xf numFmtId="15" fontId="1" fillId="0" borderId="3" xfId="0" applyNumberFormat="1" applyFont="1" applyBorder="1"/>
    <xf numFmtId="15" fontId="1" fillId="0" borderId="4" xfId="0" applyNumberFormat="1" applyFont="1" applyBorder="1"/>
    <xf numFmtId="0" fontId="1" fillId="0" borderId="4" xfId="0" applyFont="1" applyBorder="1"/>
    <xf numFmtId="0" fontId="1" fillId="0" borderId="5" xfId="0" applyFont="1" applyBorder="1"/>
    <xf numFmtId="10" fontId="1" fillId="0" borderId="4" xfId="0" applyNumberFormat="1" applyFont="1" applyBorder="1"/>
    <xf numFmtId="178" fontId="1" fillId="0" borderId="1" xfId="0" applyNumberFormat="1" applyFont="1" applyBorder="1"/>
    <xf numFmtId="178" fontId="1" fillId="0" borderId="3" xfId="0" applyNumberFormat="1" applyFont="1" applyBorder="1"/>
    <xf numFmtId="0" fontId="1" fillId="0" borderId="6" xfId="0" applyFont="1" applyBorder="1" applyAlignment="1">
      <alignment horizontal="center"/>
    </xf>
    <xf numFmtId="0" fontId="1" fillId="0" borderId="9" xfId="0" quotePrefix="1" applyFont="1" applyBorder="1"/>
    <xf numFmtId="14" fontId="1" fillId="0" borderId="0" xfId="0" applyNumberFormat="1" applyFont="1"/>
    <xf numFmtId="0" fontId="1" fillId="0" borderId="0" xfId="0" applyNumberFormat="1" applyFont="1" applyBorder="1"/>
    <xf numFmtId="0" fontId="1" fillId="0" borderId="4" xfId="0" applyNumberFormat="1" applyFont="1" applyBorder="1"/>
    <xf numFmtId="181" fontId="1" fillId="0" borderId="0" xfId="0" applyNumberFormat="1" applyFont="1" applyBorder="1"/>
    <xf numFmtId="181" fontId="1" fillId="0" borderId="10" xfId="0" applyNumberFormat="1" applyFont="1" applyBorder="1"/>
    <xf numFmtId="181" fontId="1" fillId="0" borderId="3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0" xfId="0" quotePrefix="1" applyFont="1" applyBorder="1"/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20"/>
  <sheetViews>
    <sheetView tabSelected="1" workbookViewId="0"/>
  </sheetViews>
  <sheetFormatPr defaultRowHeight="11.25" outlineLevelCol="1" x14ac:dyDescent="0.2"/>
  <cols>
    <col min="1" max="1" width="11.6640625" style="1" bestFit="1" customWidth="1"/>
    <col min="2" max="2" width="14.1640625" style="1" bestFit="1" customWidth="1"/>
    <col min="3" max="3" width="7" style="1" bestFit="1" customWidth="1"/>
    <col min="4" max="4" width="7" style="1" hidden="1" customWidth="1" outlineLevel="1"/>
    <col min="5" max="5" width="10.5" style="1" hidden="1" customWidth="1" outlineLevel="1"/>
    <col min="6" max="6" width="12.83203125" style="1" hidden="1" customWidth="1" outlineLevel="1"/>
    <col min="7" max="7" width="11.6640625" style="1" hidden="1" customWidth="1" outlineLevel="1"/>
    <col min="8" max="8" width="10.5" style="1" hidden="1" customWidth="1" outlineLevel="1"/>
    <col min="9" max="9" width="17.83203125" style="1" bestFit="1" customWidth="1" collapsed="1"/>
    <col min="10" max="10" width="4.1640625" style="1" customWidth="1"/>
    <col min="11" max="11" width="26.33203125" style="1" bestFit="1" customWidth="1"/>
    <col min="12" max="12" width="5.83203125" style="1" hidden="1" customWidth="1" outlineLevel="1"/>
    <col min="13" max="13" width="7" style="1" hidden="1" customWidth="1" outlineLevel="1"/>
    <col min="14" max="14" width="8.1640625" style="1" hidden="1" customWidth="1" outlineLevel="1"/>
    <col min="15" max="15" width="9.33203125" style="1" hidden="1" customWidth="1" outlineLevel="1"/>
    <col min="16" max="16" width="12.83203125" style="1" hidden="1" customWidth="1" outlineLevel="1"/>
    <col min="17" max="17" width="17.83203125" style="1" bestFit="1" customWidth="1" collapsed="1"/>
    <col min="18" max="18" width="4.1640625" style="1" customWidth="1"/>
    <col min="19" max="19" width="17.83203125" style="1" customWidth="1" outlineLevel="1"/>
    <col min="20" max="20" width="8.1640625" style="1" customWidth="1" outlineLevel="1"/>
    <col min="21" max="21" width="10.5" style="1" customWidth="1" outlineLevel="1"/>
    <col min="22" max="22" width="11.6640625" style="1" bestFit="1" customWidth="1"/>
    <col min="23" max="23" width="17.83203125" style="1" bestFit="1" customWidth="1"/>
    <col min="24" max="24" width="4.1640625" style="1" customWidth="1"/>
    <col min="25" max="25" width="9.33203125" style="1" bestFit="1" customWidth="1"/>
    <col min="26" max="26" width="7" style="1" bestFit="1" customWidth="1"/>
    <col min="27" max="27" width="8.1640625" style="1" bestFit="1" customWidth="1"/>
    <col min="28" max="16384" width="9.33203125" style="1"/>
  </cols>
  <sheetData>
    <row r="1" spans="1:27" x14ac:dyDescent="0.2">
      <c r="B1" s="26">
        <f ca="1">TODAY()</f>
        <v>41803</v>
      </c>
      <c r="M1" s="1">
        <v>3</v>
      </c>
    </row>
    <row r="2" spans="1:27" ht="33.75" x14ac:dyDescent="0.2">
      <c r="A2" s="34" t="s">
        <v>25</v>
      </c>
      <c r="B2" s="35" t="s">
        <v>26</v>
      </c>
      <c r="C2" s="35" t="s">
        <v>5</v>
      </c>
      <c r="D2" s="35" t="s">
        <v>20</v>
      </c>
      <c r="E2" s="35" t="s">
        <v>6</v>
      </c>
      <c r="F2" s="35" t="s">
        <v>7</v>
      </c>
      <c r="G2" s="35" t="s">
        <v>30</v>
      </c>
      <c r="H2" s="35" t="s">
        <v>8</v>
      </c>
      <c r="I2" s="36" t="s">
        <v>4</v>
      </c>
      <c r="J2" s="37"/>
      <c r="K2" s="34" t="s">
        <v>1</v>
      </c>
      <c r="L2" s="35" t="s">
        <v>29</v>
      </c>
      <c r="M2" s="35" t="s">
        <v>27</v>
      </c>
      <c r="N2" s="35" t="s">
        <v>28</v>
      </c>
      <c r="O2" s="35" t="s">
        <v>2</v>
      </c>
      <c r="P2" s="35" t="s">
        <v>3</v>
      </c>
      <c r="Q2" s="36" t="s">
        <v>0</v>
      </c>
      <c r="R2" s="37"/>
      <c r="S2" s="34" t="s">
        <v>18</v>
      </c>
      <c r="T2" s="34" t="s">
        <v>31</v>
      </c>
      <c r="U2" s="34" t="s">
        <v>32</v>
      </c>
      <c r="V2" s="34" t="s">
        <v>24</v>
      </c>
      <c r="W2" s="36" t="s">
        <v>9</v>
      </c>
      <c r="X2" s="37"/>
      <c r="Y2" s="34" t="s">
        <v>18</v>
      </c>
      <c r="Z2" s="35" t="s">
        <v>24</v>
      </c>
      <c r="AA2" s="36" t="s">
        <v>17</v>
      </c>
    </row>
    <row r="3" spans="1:27" x14ac:dyDescent="0.2">
      <c r="A3" s="15">
        <f t="shared" ref="A3:A10" ca="1" si="0">EDATE(B3,-240)</f>
        <v>34870</v>
      </c>
      <c r="B3" s="2">
        <f ca="1">EDATE($B$1,D3)+7</f>
        <v>42175</v>
      </c>
      <c r="C3" s="3" t="s">
        <v>12</v>
      </c>
      <c r="D3" s="27">
        <v>12</v>
      </c>
      <c r="E3" s="3" t="s">
        <v>13</v>
      </c>
      <c r="F3" s="3" t="s">
        <v>14</v>
      </c>
      <c r="G3" s="3" t="s">
        <v>14</v>
      </c>
      <c r="H3" s="3" t="s">
        <v>15</v>
      </c>
      <c r="I3" s="16" t="str">
        <f ca="1">_xll.qlSchedule(,A3,B3,C3,E3,F3,G3,H3)</f>
        <v>obj_00008#0006</v>
      </c>
      <c r="K3" s="5" t="str">
        <f ca="1">"Bond "&amp;TEXT(O3,"0.00%")&amp;TEXT(B3," yyyy-mm-dd")</f>
        <v>Bond 5.25% 2015-06-20</v>
      </c>
      <c r="L3" s="3" t="s">
        <v>10</v>
      </c>
      <c r="M3" s="3">
        <f>$M$1</f>
        <v>3</v>
      </c>
      <c r="N3" s="3">
        <v>100</v>
      </c>
      <c r="O3" s="4">
        <v>5.2499999999999998E-2</v>
      </c>
      <c r="P3" s="3" t="s">
        <v>11</v>
      </c>
      <c r="Q3" s="16" t="str">
        <f ca="1">_xll.qlFixedRateBond(,K3,L3,M3,N3,I3,O3,P3,,,,"TARGET")</f>
        <v>obj_0000f#0006</v>
      </c>
      <c r="S3" s="5" t="b">
        <f ca="1">_xll.qlInstrumentSetPricingEngine(Q3,$S$20)</f>
        <v>1</v>
      </c>
      <c r="T3" s="22">
        <f ca="1">_xll.qlBondAccruedAmount(Q3)</f>
        <v>5.2208333333333421</v>
      </c>
      <c r="U3" s="22">
        <f ca="1">_xll.qlBondCleanPrice(Q3,S3)</f>
        <v>100.11748093728465</v>
      </c>
      <c r="V3" s="22">
        <f ca="1">U3</f>
        <v>100.11748093728465</v>
      </c>
      <c r="W3" s="16" t="str">
        <f ca="1">_xll.qlBondHelper(,V3,Q3)</f>
        <v>obj_00019#0006</v>
      </c>
      <c r="Y3" s="5" t="b">
        <f ca="1">_xll.qlInstrumentSetPricingEngine(Q3,$W$20)</f>
        <v>1</v>
      </c>
      <c r="Z3" s="6">
        <f ca="1">_xll.qlBondCleanPrice(Q3,Y3)</f>
        <v>100.11748093730135</v>
      </c>
      <c r="AA3" s="7">
        <f t="shared" ref="AA3:AA10" ca="1" si="1">Z3-V3</f>
        <v>1.6697754290362354E-11</v>
      </c>
    </row>
    <row r="4" spans="1:27" x14ac:dyDescent="0.2">
      <c r="A4" s="15">
        <f t="shared" ca="1" si="0"/>
        <v>35232</v>
      </c>
      <c r="B4" s="2">
        <f ca="1">EDATE($B$1,D4)+3</f>
        <v>42537</v>
      </c>
      <c r="C4" s="3" t="s">
        <v>22</v>
      </c>
      <c r="D4" s="27">
        <v>24</v>
      </c>
      <c r="E4" s="3" t="s">
        <v>13</v>
      </c>
      <c r="F4" s="3" t="s">
        <v>14</v>
      </c>
      <c r="G4" s="3" t="s">
        <v>14</v>
      </c>
      <c r="H4" s="3" t="s">
        <v>15</v>
      </c>
      <c r="I4" s="16" t="str">
        <f ca="1">_xll.qlSchedule(,A4,B4,C4,E4,F4,G4,H4)</f>
        <v>obj_0000d#0006</v>
      </c>
      <c r="K4" s="5" t="str">
        <f t="shared" ref="K4:K10" ca="1" si="2">"Bond "&amp;TEXT(O4,"0.00%")&amp;TEXT(B4," yyyy-mm-dd")</f>
        <v>Bond 5.50% 2016-06-16</v>
      </c>
      <c r="L4" s="3" t="s">
        <v>10</v>
      </c>
      <c r="M4" s="3">
        <f t="shared" ref="M4:M10" si="3">$M$1</f>
        <v>3</v>
      </c>
      <c r="N4" s="3">
        <v>100</v>
      </c>
      <c r="O4" s="4">
        <v>5.5E-2</v>
      </c>
      <c r="P4" s="3" t="s">
        <v>11</v>
      </c>
      <c r="Q4" s="16" t="str">
        <f ca="1">_xll.qlFixedRateBond(,K4,L4,M4,N4,I4,O4,P4,,,,"TARGET")</f>
        <v>obj_0000e#0006</v>
      </c>
      <c r="S4" s="5" t="b">
        <f ca="1">_xll.qlInstrumentSetPricingEngine(Q4,$S$20)</f>
        <v>1</v>
      </c>
      <c r="T4" s="22">
        <f ca="1">_xll.qlBondAccruedAmount(Q4)</f>
        <v>3.0555555555555891E-2</v>
      </c>
      <c r="U4" s="22">
        <f ca="1">_xll.qlBondCleanPrice(Q4,S4)</f>
        <v>100.80529592328706</v>
      </c>
      <c r="V4" s="22">
        <f t="shared" ref="V4:V10" ca="1" si="4">U4</f>
        <v>100.80529592328706</v>
      </c>
      <c r="W4" s="16" t="str">
        <f ca="1">_xll.qlBondHelper(,V4,Q4)</f>
        <v>obj_00018#0006</v>
      </c>
      <c r="Y4" s="5" t="b">
        <f ca="1">_xll.qlInstrumentSetPricingEngine(Q4,$W$20)</f>
        <v>1</v>
      </c>
      <c r="Z4" s="6">
        <f ca="1">_xll.qlBondCleanPrice(Q4,Y4)</f>
        <v>100.80529592326681</v>
      </c>
      <c r="AA4" s="7">
        <f t="shared" ca="1" si="1"/>
        <v>-2.0250467969162855E-11</v>
      </c>
    </row>
    <row r="5" spans="1:27" x14ac:dyDescent="0.2">
      <c r="A5" s="15">
        <f t="shared" ca="1" si="0"/>
        <v>36234</v>
      </c>
      <c r="B5" s="2">
        <f ca="1">EDATE($B$1,D5)-90</f>
        <v>43539</v>
      </c>
      <c r="C5" s="3" t="s">
        <v>23</v>
      </c>
      <c r="D5" s="27">
        <v>60</v>
      </c>
      <c r="E5" s="3" t="s">
        <v>13</v>
      </c>
      <c r="F5" s="3" t="s">
        <v>14</v>
      </c>
      <c r="G5" s="3" t="s">
        <v>14</v>
      </c>
      <c r="H5" s="3" t="s">
        <v>15</v>
      </c>
      <c r="I5" s="16" t="str">
        <f ca="1">_xll.qlSchedule(,A5,B5,C5,E5,F5,G5,H5)</f>
        <v>obj_0000a#0006</v>
      </c>
      <c r="K5" s="5" t="str">
        <f t="shared" ca="1" si="2"/>
        <v>Bond 6.75% 2019-03-15</v>
      </c>
      <c r="L5" s="3" t="s">
        <v>10</v>
      </c>
      <c r="M5" s="3">
        <f t="shared" si="3"/>
        <v>3</v>
      </c>
      <c r="N5" s="3">
        <v>100</v>
      </c>
      <c r="O5" s="4">
        <v>6.7500000000000004E-2</v>
      </c>
      <c r="P5" s="3" t="s">
        <v>11</v>
      </c>
      <c r="Q5" s="16" t="str">
        <f ca="1">_xll.qlFixedRateBond(,K5,L5,M5,N5,I5,O5,P5,,,,"TARGET")</f>
        <v>obj_00010#0006</v>
      </c>
      <c r="S5" s="5" t="b">
        <f ca="1">_xll.qlInstrumentSetPricingEngine(Q5,$S$20)</f>
        <v>1</v>
      </c>
      <c r="T5" s="22">
        <f ca="1">_xll.qlBondAccruedAmount(Q5)</f>
        <v>3.7500000000001421E-2</v>
      </c>
      <c r="U5" s="22">
        <f ca="1">_xll.qlBondCleanPrice(Q5,S5)</f>
        <v>107.20336079860957</v>
      </c>
      <c r="V5" s="22">
        <f t="shared" ca="1" si="4"/>
        <v>107.20336079860957</v>
      </c>
      <c r="W5" s="16" t="str">
        <f ca="1">_xll.qlBondHelper(,V5,Q5)</f>
        <v>obj_0001a#0006</v>
      </c>
      <c r="Y5" s="5" t="b">
        <f ca="1">_xll.qlInstrumentSetPricingEngine(Q5,$W$20)</f>
        <v>1</v>
      </c>
      <c r="Z5" s="6">
        <f ca="1">_xll.qlBondCleanPrice(Q5,Y5)</f>
        <v>107.2033607986171</v>
      </c>
      <c r="AA5" s="7">
        <f t="shared" ca="1" si="1"/>
        <v>7.531752999057062E-12</v>
      </c>
    </row>
    <row r="6" spans="1:27" x14ac:dyDescent="0.2">
      <c r="A6" s="15">
        <f t="shared" ca="1" si="0"/>
        <v>37411</v>
      </c>
      <c r="B6" s="2">
        <f ca="1">EDATE($B$1,D6)+173</f>
        <v>44716</v>
      </c>
      <c r="C6" s="3" t="s">
        <v>12</v>
      </c>
      <c r="D6" s="27">
        <v>90</v>
      </c>
      <c r="E6" s="3" t="s">
        <v>13</v>
      </c>
      <c r="F6" s="3" t="s">
        <v>14</v>
      </c>
      <c r="G6" s="3" t="s">
        <v>14</v>
      </c>
      <c r="H6" s="3" t="s">
        <v>15</v>
      </c>
      <c r="I6" s="16" t="str">
        <f ca="1">_xll.qlSchedule(,A6,B6,C6,E6,F6,G6,H6)</f>
        <v>obj_00007#0006</v>
      </c>
      <c r="K6" s="5" t="str">
        <f t="shared" ca="1" si="2"/>
        <v>Bond 4.50% 2022-06-04</v>
      </c>
      <c r="L6" s="3" t="s">
        <v>10</v>
      </c>
      <c r="M6" s="3">
        <f t="shared" si="3"/>
        <v>3</v>
      </c>
      <c r="N6" s="3">
        <v>100</v>
      </c>
      <c r="O6" s="4">
        <v>4.4999999999999998E-2</v>
      </c>
      <c r="P6" s="3" t="s">
        <v>11</v>
      </c>
      <c r="Q6" s="16" t="str">
        <f ca="1">_xll.qlFixedRateBond(,K6,L6,M6,N6,I6,O6,P6,,,,"TARGET")</f>
        <v>obj_00009#0006</v>
      </c>
      <c r="S6" s="5" t="b">
        <f ca="1">_xll.qlInstrumentSetPricingEngine(Q6,$S$20)</f>
        <v>1</v>
      </c>
      <c r="T6" s="22">
        <f ca="1">_xll.qlBondAccruedAmount(Q6)</f>
        <v>0.17499999999999183</v>
      </c>
      <c r="U6" s="22">
        <f ca="1">_xll.qlBondCleanPrice(Q6,S6)</f>
        <v>95.950047580053564</v>
      </c>
      <c r="V6" s="22">
        <f t="shared" ca="1" si="4"/>
        <v>95.950047580053564</v>
      </c>
      <c r="W6" s="16" t="str">
        <f ca="1">_xll.qlBondHelper(,V6,Q6)</f>
        <v>obj_00016#0006</v>
      </c>
      <c r="Y6" s="5" t="b">
        <f ca="1">_xll.qlInstrumentSetPricingEngine(Q6,$W$20)</f>
        <v>1</v>
      </c>
      <c r="Z6" s="6">
        <f ca="1">_xll.qlBondCleanPrice(Q6,Y6)</f>
        <v>95.950047580066368</v>
      </c>
      <c r="AA6" s="7">
        <f t="shared" ca="1" si="1"/>
        <v>1.2803980098397005E-11</v>
      </c>
    </row>
    <row r="7" spans="1:27" x14ac:dyDescent="0.2">
      <c r="A7" s="15">
        <f t="shared" ca="1" si="0"/>
        <v>38199</v>
      </c>
      <c r="B7" s="2">
        <f ca="1">EDATE($B$1,D7)+48</f>
        <v>45504</v>
      </c>
      <c r="C7" s="3" t="s">
        <v>12</v>
      </c>
      <c r="D7" s="27">
        <v>120</v>
      </c>
      <c r="E7" s="3" t="s">
        <v>13</v>
      </c>
      <c r="F7" s="3" t="s">
        <v>14</v>
      </c>
      <c r="G7" s="3" t="s">
        <v>14</v>
      </c>
      <c r="H7" s="3" t="s">
        <v>15</v>
      </c>
      <c r="I7" s="16" t="str">
        <f ca="1">_xll.qlSchedule(,A7,B7,C7,E7,F7,G7,H7)</f>
        <v>obj_00001#0006</v>
      </c>
      <c r="K7" s="5" t="str">
        <f t="shared" ca="1" si="2"/>
        <v>Bond 3.00% 2024-07-31</v>
      </c>
      <c r="L7" s="3" t="s">
        <v>10</v>
      </c>
      <c r="M7" s="3">
        <f t="shared" si="3"/>
        <v>3</v>
      </c>
      <c r="N7" s="3">
        <v>100</v>
      </c>
      <c r="O7" s="4">
        <v>0.03</v>
      </c>
      <c r="P7" s="3" t="s">
        <v>11</v>
      </c>
      <c r="Q7" s="16" t="str">
        <f ca="1">_xll.qlFixedRateBond(,K7,L7,M7,N7,I7,O7,P7,,,,"TARGET")</f>
        <v>obj_00006#0006</v>
      </c>
      <c r="S7" s="5" t="b">
        <f ca="1">_xll.qlInstrumentSetPricingEngine(Q7,$S$20)</f>
        <v>1</v>
      </c>
      <c r="T7" s="22">
        <f ca="1">_xll.qlBondAccruedAmount(Q7)</f>
        <v>2.6499999999999968</v>
      </c>
      <c r="U7" s="22">
        <f ca="1">_xll.qlBondCleanPrice(Q7,S7)</f>
        <v>83.487726520397885</v>
      </c>
      <c r="V7" s="22">
        <f t="shared" ca="1" si="4"/>
        <v>83.487726520397885</v>
      </c>
      <c r="W7" s="16" t="str">
        <f ca="1">_xll.qlBondHelper(,V7,Q7)</f>
        <v>obj_00015#0006</v>
      </c>
      <c r="Y7" s="5" t="b">
        <f ca="1">_xll.qlInstrumentSetPricingEngine(Q7,$W$20)</f>
        <v>1</v>
      </c>
      <c r="Z7" s="6">
        <f ca="1">_xll.qlBondCleanPrice(Q7,Y7)</f>
        <v>83.487726520412764</v>
      </c>
      <c r="AA7" s="7">
        <f t="shared" ca="1" si="1"/>
        <v>1.4878764886816498E-11</v>
      </c>
    </row>
    <row r="8" spans="1:27" x14ac:dyDescent="0.2">
      <c r="A8" s="15">
        <f t="shared" ca="1" si="0"/>
        <v>39432</v>
      </c>
      <c r="B8" s="2">
        <f ca="1">EDATE($B$1,D8)+278</f>
        <v>46737</v>
      </c>
      <c r="C8" s="3" t="s">
        <v>12</v>
      </c>
      <c r="D8" s="27">
        <v>153</v>
      </c>
      <c r="E8" s="3" t="s">
        <v>13</v>
      </c>
      <c r="F8" s="3" t="s">
        <v>14</v>
      </c>
      <c r="G8" s="3" t="s">
        <v>14</v>
      </c>
      <c r="H8" s="3" t="s">
        <v>15</v>
      </c>
      <c r="I8" s="16" t="str">
        <f ca="1">_xll.qlSchedule(,A8,B8,C8,E8,F8,G8,H8)</f>
        <v>obj_00002#0006</v>
      </c>
      <c r="K8" s="5" t="str">
        <f t="shared" ca="1" si="2"/>
        <v>Bond 3.75% 2027-12-16</v>
      </c>
      <c r="L8" s="3" t="s">
        <v>10</v>
      </c>
      <c r="M8" s="3">
        <f t="shared" si="3"/>
        <v>3</v>
      </c>
      <c r="N8" s="3">
        <v>100</v>
      </c>
      <c r="O8" s="4">
        <v>3.7499999999999999E-2</v>
      </c>
      <c r="P8" s="3" t="s">
        <v>11</v>
      </c>
      <c r="Q8" s="16" t="str">
        <f ca="1">_xll.qlFixedRateBond(,K8,L8,M8,N8,I8,O8,P8,,,,"TARGET")</f>
        <v>obj_00005#0006</v>
      </c>
      <c r="S8" s="5" t="b">
        <f ca="1">_xll.qlInstrumentSetPricingEngine(Q8,$S$20)</f>
        <v>1</v>
      </c>
      <c r="T8" s="22">
        <f ca="1">_xll.qlBondAccruedAmount(Q8)</f>
        <v>1.895833333333341</v>
      </c>
      <c r="U8" s="22">
        <f ca="1">_xll.qlBondCleanPrice(Q8,S8)</f>
        <v>86.761416173229563</v>
      </c>
      <c r="V8" s="22">
        <f t="shared" ca="1" si="4"/>
        <v>86.761416173229563</v>
      </c>
      <c r="W8" s="16" t="str">
        <f ca="1">_xll.qlBondHelper(,V8,Q8)</f>
        <v>obj_00014#0006</v>
      </c>
      <c r="Y8" s="5" t="b">
        <f ca="1">_xll.qlInstrumentSetPricingEngine(Q8,$W$20)</f>
        <v>1</v>
      </c>
      <c r="Z8" s="6">
        <f ca="1">_xll.qlBondCleanPrice(Q8,Y8)</f>
        <v>86.761416173248335</v>
      </c>
      <c r="AA8" s="7">
        <f t="shared" ca="1" si="1"/>
        <v>1.8772539078781847E-11</v>
      </c>
    </row>
    <row r="9" spans="1:27" x14ac:dyDescent="0.2">
      <c r="A9" s="15">
        <f t="shared" ca="1" si="0"/>
        <v>39980</v>
      </c>
      <c r="B9" s="2">
        <f ca="1">EDATE($B$1,D9)-27</f>
        <v>47285</v>
      </c>
      <c r="C9" s="3" t="s">
        <v>12</v>
      </c>
      <c r="D9" s="27">
        <v>181</v>
      </c>
      <c r="E9" s="3" t="s">
        <v>13</v>
      </c>
      <c r="F9" s="3" t="s">
        <v>14</v>
      </c>
      <c r="G9" s="3" t="s">
        <v>14</v>
      </c>
      <c r="H9" s="3" t="s">
        <v>15</v>
      </c>
      <c r="I9" s="16" t="str">
        <f ca="1">_xll.qlSchedule(,A9,B9,C9,E9,F9,G9,H9)</f>
        <v>obj_0000b#0006</v>
      </c>
      <c r="K9" s="5" t="str">
        <f t="shared" ca="1" si="2"/>
        <v>Bond 4.25% 2029-06-16</v>
      </c>
      <c r="L9" s="3" t="s">
        <v>10</v>
      </c>
      <c r="M9" s="3">
        <f t="shared" si="3"/>
        <v>3</v>
      </c>
      <c r="N9" s="3">
        <v>100</v>
      </c>
      <c r="O9" s="4">
        <v>4.2500000000000003E-2</v>
      </c>
      <c r="P9" s="3" t="s">
        <v>11</v>
      </c>
      <c r="Q9" s="16" t="str">
        <f ca="1">_xll.qlFixedRateBond(,K9,L9,M9,N9,I9,O9,P9,,,,"TARGET")</f>
        <v>obj_0000c#0006</v>
      </c>
      <c r="S9" s="5" t="b">
        <f ca="1">_xll.qlInstrumentSetPricingEngine(Q9,$S$20)</f>
        <v>1</v>
      </c>
      <c r="T9" s="22">
        <f ca="1">_xll.qlBondAccruedAmount(Q9)</f>
        <v>2.3611111111110361E-2</v>
      </c>
      <c r="U9" s="22">
        <f ca="1">_xll.qlBondCleanPrice(Q9,S9)</f>
        <v>90.935332742868383</v>
      </c>
      <c r="V9" s="22">
        <f t="shared" ca="1" si="4"/>
        <v>90.935332742868383</v>
      </c>
      <c r="W9" s="16" t="str">
        <f ca="1">_xll.qlBondHelper(,V9,Q9)</f>
        <v>obj_00017#0006</v>
      </c>
      <c r="Y9" s="5" t="b">
        <f ca="1">_xll.qlInstrumentSetPricingEngine(Q9,$W$20)</f>
        <v>1</v>
      </c>
      <c r="Z9" s="6">
        <f ca="1">_xll.qlBondCleanPrice(Q9,Y9)</f>
        <v>90.935332742889045</v>
      </c>
      <c r="AA9" s="7">
        <f t="shared" ca="1" si="1"/>
        <v>2.0662582755903713E-11</v>
      </c>
    </row>
    <row r="10" spans="1:27" x14ac:dyDescent="0.2">
      <c r="A10" s="17">
        <f t="shared" ca="1" si="0"/>
        <v>41652</v>
      </c>
      <c r="B10" s="18">
        <f ca="1">EDATE($B$1,D10)-120</f>
        <v>48957</v>
      </c>
      <c r="C10" s="19" t="s">
        <v>12</v>
      </c>
      <c r="D10" s="28">
        <v>239</v>
      </c>
      <c r="E10" s="19" t="s">
        <v>13</v>
      </c>
      <c r="F10" s="19" t="s">
        <v>14</v>
      </c>
      <c r="G10" s="19" t="s">
        <v>14</v>
      </c>
      <c r="H10" s="19" t="s">
        <v>15</v>
      </c>
      <c r="I10" s="20" t="str">
        <f ca="1">_xll.qlSchedule(,A10,B10,C10,E10,F10,G10,H10)</f>
        <v>obj_00003#0006</v>
      </c>
      <c r="K10" s="8" t="str">
        <f t="shared" ca="1" si="2"/>
        <v>Bond 5.00% 2034-01-13</v>
      </c>
      <c r="L10" s="19" t="s">
        <v>10</v>
      </c>
      <c r="M10" s="19">
        <f t="shared" si="3"/>
        <v>3</v>
      </c>
      <c r="N10" s="19">
        <v>100</v>
      </c>
      <c r="O10" s="21">
        <v>0.05</v>
      </c>
      <c r="P10" s="19" t="s">
        <v>11</v>
      </c>
      <c r="Q10" s="20" t="str">
        <f ca="1">_xll.qlFixedRateBond(,K10,L10,M10,N10,I10,O10,P10,,,,"TARGET")</f>
        <v>obj_00004#0006</v>
      </c>
      <c r="S10" s="8" t="b">
        <f ca="1">_xll.qlInstrumentSetPricingEngine(Q10,$S$20)</f>
        <v>1</v>
      </c>
      <c r="T10" s="23">
        <f ca="1">_xll.qlBondAccruedAmount(Q10)</f>
        <v>2.1527777777777812</v>
      </c>
      <c r="U10" s="23">
        <f ca="1">_xll.qlBondCleanPrice(Q10,S10)</f>
        <v>98.362486255221597</v>
      </c>
      <c r="V10" s="23">
        <f t="shared" ca="1" si="4"/>
        <v>98.362486255221597</v>
      </c>
      <c r="W10" s="20" t="str">
        <f ca="1">_xll.qlBondHelper(,V10,Q10)</f>
        <v>obj_00013#0006</v>
      </c>
      <c r="Y10" s="8" t="b">
        <f ca="1">_xll.qlInstrumentSetPricingEngine(Q10,$W$20)</f>
        <v>1</v>
      </c>
      <c r="Z10" s="9">
        <f ca="1">_xll.qlBondCleanPrice(Q10,Y10)</f>
        <v>98.362486255247489</v>
      </c>
      <c r="AA10" s="10">
        <f t="shared" ca="1" si="1"/>
        <v>2.5892177291098051E-11</v>
      </c>
    </row>
    <row r="12" spans="1:27" x14ac:dyDescent="0.2">
      <c r="S12" s="1" t="s">
        <v>21</v>
      </c>
      <c r="W12" s="24" t="s">
        <v>19</v>
      </c>
    </row>
    <row r="13" spans="1:27" x14ac:dyDescent="0.2">
      <c r="S13" s="1" t="str">
        <f ca="1">_xll.qlFlatForward(,0,"target",5%,,,,,Q3:Q10)</f>
        <v>obj_00011#0006</v>
      </c>
      <c r="W13" s="25" t="str">
        <f ca="1">_xll.qlPiecewiseYieldCurve(,$M$1,"TARGET",W3:W10)</f>
        <v>obj_0001b#0006</v>
      </c>
    </row>
    <row r="16" spans="1:27" x14ac:dyDescent="0.2">
      <c r="S16" s="30">
        <f ca="1">_xll.qlYieldTSDiscount(S13,V16)</f>
        <v>0.99931530300519067</v>
      </c>
      <c r="T16" s="29"/>
      <c r="V16" s="11">
        <f ca="1">_xll.qlBondSettlementDate(Q3)</f>
        <v>41808</v>
      </c>
      <c r="W16" s="12">
        <f ca="1">_xll.qlYieldTSDiscount(W13,V16)</f>
        <v>1</v>
      </c>
    </row>
    <row r="17" spans="19:23" x14ac:dyDescent="0.2">
      <c r="S17" s="31">
        <f ca="1">_xll.qlYieldTSDiscount(S13,V17)</f>
        <v>0.37531109885139952</v>
      </c>
      <c r="T17" s="29"/>
      <c r="V17" s="13">
        <f ca="1">MAX(B3:B10)</f>
        <v>48957</v>
      </c>
      <c r="W17" s="14">
        <f ca="1">_xll.qlYieldTSDiscount(W13,V17)</f>
        <v>0.37556824930320193</v>
      </c>
    </row>
    <row r="19" spans="19:23" x14ac:dyDescent="0.2">
      <c r="S19" s="24" t="s">
        <v>16</v>
      </c>
      <c r="T19" s="32"/>
      <c r="W19" s="24" t="s">
        <v>16</v>
      </c>
    </row>
    <row r="20" spans="19:23" x14ac:dyDescent="0.2">
      <c r="S20" s="25" t="str">
        <f ca="1">_xll.qlBondEngine(,S13)</f>
        <v>obj_00012#0006</v>
      </c>
      <c r="T20" s="33"/>
      <c r="W20" s="25" t="str">
        <f ca="1">_xll.qlBondEngine(,W13,,W16)</f>
        <v>obj_0001c#0006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dcterms:created xsi:type="dcterms:W3CDTF">2008-08-26T10:52:25Z</dcterms:created>
  <dcterms:modified xsi:type="dcterms:W3CDTF">2014-06-13T20:50:03Z</dcterms:modified>
</cp:coreProperties>
</file>