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9095" windowHeight="12450"/>
  </bookViews>
  <sheets>
    <sheet name="Payoffs" sheetId="1" r:id="rId1"/>
    <sheet name="BlackCalculator" sheetId="2" r:id="rId2"/>
    <sheet name="BlackScholesCalculator" sheetId="3" r:id="rId3"/>
    <sheet name="Charts" sheetId="4" r:id="rId4"/>
  </sheets>
  <definedNames>
    <definedName name="fwdValue">Charts!$O$4</definedName>
    <definedName name="logFwd">Charts!$O$3</definedName>
    <definedName name="SpotValue">BlackCalculator!$B$17</definedName>
  </definedNames>
  <calcPr calcId="145621"/>
</workbook>
</file>

<file path=xl/calcChain.xml><?xml version="1.0" encoding="utf-8"?>
<calcChain xmlns="http://schemas.openxmlformats.org/spreadsheetml/2006/main">
  <c r="B4" i="3" l="1"/>
  <c r="B3" i="2"/>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9" i="4"/>
  <c r="L10" i="4"/>
  <c r="P9" i="4"/>
  <c r="P10" i="4" s="1"/>
  <c r="P11" i="4" s="1"/>
  <c r="P12" i="4" s="1"/>
  <c r="P13" i="4" s="1"/>
  <c r="P14" i="4" s="1"/>
  <c r="P15" i="4" s="1"/>
  <c r="P16" i="4" s="1"/>
  <c r="P17" i="4" s="1"/>
  <c r="P18" i="4" s="1"/>
  <c r="P19" i="4" s="1"/>
  <c r="P20" i="4" s="1"/>
  <c r="P21" i="4" s="1"/>
  <c r="M10" i="4"/>
  <c r="O4" i="4"/>
  <c r="O3" i="4" s="1"/>
  <c r="N23" i="4" s="1"/>
  <c r="A23" i="4" s="1"/>
  <c r="L11" i="4"/>
  <c r="M11" i="4"/>
  <c r="L12" i="4"/>
  <c r="M12" i="4"/>
  <c r="L13" i="4"/>
  <c r="P22" i="4"/>
  <c r="P23" i="4" s="1"/>
  <c r="P24" i="4" s="1"/>
  <c r="P25" i="4" s="1"/>
  <c r="P26" i="4"/>
  <c r="P27" i="4" s="1"/>
  <c r="P28" i="4" s="1"/>
  <c r="P29" i="4" s="1"/>
  <c r="P30" i="4" s="1"/>
  <c r="P31" i="4" s="1"/>
  <c r="P32" i="4" s="1"/>
  <c r="P33" i="4" s="1"/>
  <c r="P34" i="4" s="1"/>
  <c r="P35" i="4" s="1"/>
  <c r="P36" i="4" s="1"/>
  <c r="P37" i="4" s="1"/>
  <c r="P38" i="4" s="1"/>
  <c r="P39" i="4" s="1"/>
  <c r="P40" i="4" s="1"/>
  <c r="P41" i="4" s="1"/>
  <c r="P42" i="4" s="1"/>
  <c r="P43" i="4" s="1"/>
  <c r="P44" i="4" s="1"/>
  <c r="P45" i="4" s="1"/>
  <c r="P46" i="4" s="1"/>
  <c r="P47" i="4" s="1"/>
  <c r="P48" i="4" s="1"/>
  <c r="P49" i="4" s="1"/>
  <c r="P50" i="4" s="1"/>
  <c r="P51" i="4" s="1"/>
  <c r="P52" i="4" s="1"/>
  <c r="P53" i="4" s="1"/>
  <c r="P54" i="4" s="1"/>
  <c r="P55" i="4" s="1"/>
  <c r="P56" i="4" s="1"/>
  <c r="P57" i="4" s="1"/>
  <c r="P58" i="4" s="1"/>
  <c r="M13" i="4"/>
  <c r="L14" i="4"/>
  <c r="M14" i="4"/>
  <c r="L15" i="4"/>
  <c r="M15" i="4"/>
  <c r="L16" i="4"/>
  <c r="M16" i="4"/>
  <c r="L17" i="4"/>
  <c r="M17" i="4"/>
  <c r="L18" i="4"/>
  <c r="M18" i="4"/>
  <c r="L19" i="4"/>
  <c r="M19" i="4"/>
  <c r="L20" i="4"/>
  <c r="M20" i="4"/>
  <c r="L21" i="4"/>
  <c r="M21" i="4"/>
  <c r="L22" i="4"/>
  <c r="M22" i="4"/>
  <c r="L23" i="4"/>
  <c r="M23" i="4"/>
  <c r="L24" i="4"/>
  <c r="M24" i="4"/>
  <c r="L25" i="4"/>
  <c r="M25" i="4"/>
  <c r="L26" i="4"/>
  <c r="M26" i="4"/>
  <c r="L27" i="4"/>
  <c r="M27" i="4"/>
  <c r="L28" i="4"/>
  <c r="M28" i="4"/>
  <c r="L29" i="4"/>
  <c r="M29" i="4"/>
  <c r="L30" i="4"/>
  <c r="M30" i="4"/>
  <c r="L31" i="4"/>
  <c r="M31" i="4"/>
  <c r="L32" i="4"/>
  <c r="M32" i="4"/>
  <c r="L33" i="4"/>
  <c r="M33" i="4"/>
  <c r="L34" i="4"/>
  <c r="M34" i="4"/>
  <c r="L35" i="4"/>
  <c r="M35" i="4"/>
  <c r="L36" i="4"/>
  <c r="M36" i="4"/>
  <c r="L37" i="4"/>
  <c r="M37" i="4"/>
  <c r="L38" i="4"/>
  <c r="M38" i="4"/>
  <c r="L39" i="4"/>
  <c r="M39" i="4"/>
  <c r="L40" i="4"/>
  <c r="M40" i="4"/>
  <c r="L41" i="4"/>
  <c r="M41" i="4"/>
  <c r="L42" i="4"/>
  <c r="M42" i="4"/>
  <c r="L43" i="4"/>
  <c r="M43" i="4"/>
  <c r="L44" i="4"/>
  <c r="M44" i="4"/>
  <c r="L45" i="4"/>
  <c r="M45" i="4"/>
  <c r="L46" i="4"/>
  <c r="M46" i="4"/>
  <c r="L47" i="4"/>
  <c r="M47" i="4"/>
  <c r="L48" i="4"/>
  <c r="M48" i="4"/>
  <c r="L49" i="4"/>
  <c r="M49" i="4"/>
  <c r="L50" i="4"/>
  <c r="M50" i="4"/>
  <c r="L51" i="4"/>
  <c r="M51" i="4"/>
  <c r="L52" i="4"/>
  <c r="M52" i="4"/>
  <c r="L53" i="4"/>
  <c r="M53" i="4"/>
  <c r="L54" i="4"/>
  <c r="M54" i="4"/>
  <c r="L55" i="4"/>
  <c r="M55" i="4"/>
  <c r="L56" i="4"/>
  <c r="M56" i="4"/>
  <c r="L57" i="4"/>
  <c r="M57" i="4"/>
  <c r="L58" i="4"/>
  <c r="M58" i="4"/>
  <c r="L59" i="4"/>
  <c r="M59" i="4"/>
  <c r="L9" i="4"/>
  <c r="M9" i="4"/>
  <c r="J11" i="4"/>
  <c r="J21" i="4"/>
  <c r="J30" i="4"/>
  <c r="J24" i="4"/>
  <c r="J50" i="4"/>
  <c r="J55" i="4"/>
  <c r="J59" i="4"/>
  <c r="J57" i="4"/>
  <c r="J19" i="4"/>
  <c r="J29" i="4"/>
  <c r="J38" i="4"/>
  <c r="J32" i="4"/>
  <c r="J58" i="4"/>
  <c r="A5" i="1"/>
  <c r="I5" i="1" s="1"/>
  <c r="J27" i="4"/>
  <c r="J37" i="4"/>
  <c r="J46" i="4"/>
  <c r="J40" i="4"/>
  <c r="J17" i="4"/>
  <c r="J35" i="4"/>
  <c r="J45" i="4"/>
  <c r="J54" i="4"/>
  <c r="J48" i="4"/>
  <c r="H5" i="1"/>
  <c r="A8" i="1"/>
  <c r="H8" i="1" s="1"/>
  <c r="J52" i="4"/>
  <c r="J15" i="4"/>
  <c r="J43" i="4"/>
  <c r="J53" i="4"/>
  <c r="J56" i="4"/>
  <c r="J31" i="4"/>
  <c r="M8" i="1"/>
  <c r="A7" i="1"/>
  <c r="J51" i="4"/>
  <c r="A6" i="1"/>
  <c r="J33" i="4"/>
  <c r="J25" i="4"/>
  <c r="G8" i="1"/>
  <c r="J28" i="4"/>
  <c r="K5" i="1"/>
  <c r="G6" i="1"/>
  <c r="J47" i="4"/>
  <c r="J39" i="4"/>
  <c r="J8" i="1"/>
  <c r="K8" i="1"/>
  <c r="J44" i="4"/>
  <c r="B1" i="2"/>
  <c r="B5" i="2" s="1"/>
  <c r="A4" i="1"/>
  <c r="I8" i="1"/>
  <c r="A3" i="1"/>
  <c r="B9" i="2"/>
  <c r="J12" i="4"/>
  <c r="G7" i="1"/>
  <c r="J6" i="1"/>
  <c r="J36" i="4"/>
  <c r="M5" i="1"/>
  <c r="I3" i="1"/>
  <c r="J18" i="4"/>
  <c r="G5" i="1"/>
  <c r="B19" i="2"/>
  <c r="B12" i="2"/>
  <c r="H6" i="1"/>
  <c r="J9" i="4"/>
  <c r="B6" i="2"/>
  <c r="F8" i="2" s="1"/>
  <c r="B1" i="3"/>
  <c r="J26" i="4"/>
  <c r="B22" i="2"/>
  <c r="B14" i="2"/>
  <c r="I6" i="1"/>
  <c r="A9" i="1"/>
  <c r="J14" i="4"/>
  <c r="B6" i="3"/>
  <c r="J34" i="4"/>
  <c r="J23" i="4"/>
  <c r="K23" i="4" s="1"/>
  <c r="J41" i="4"/>
  <c r="H4" i="1"/>
  <c r="K6" i="1"/>
  <c r="J4" i="1"/>
  <c r="J7" i="1"/>
  <c r="M6" i="1"/>
  <c r="J5" i="1"/>
  <c r="G23" i="4"/>
  <c r="B11" i="2"/>
  <c r="J16" i="4"/>
  <c r="J20" i="4"/>
  <c r="J13" i="4"/>
  <c r="B8" i="2"/>
  <c r="F23" i="4"/>
  <c r="J10" i="4"/>
  <c r="H3" i="1"/>
  <c r="J22" i="4"/>
  <c r="J42" i="4"/>
  <c r="G9" i="1"/>
  <c r="J49" i="4"/>
  <c r="B20" i="2"/>
  <c r="M7" i="1"/>
  <c r="K7" i="1"/>
  <c r="I7" i="1"/>
  <c r="H7" i="1"/>
  <c r="B7" i="2"/>
  <c r="B10" i="2"/>
  <c r="B16" i="2"/>
  <c r="B18" i="2"/>
  <c r="B21" i="2"/>
  <c r="B15" i="2"/>
  <c r="K4" i="1"/>
  <c r="I4" i="1"/>
  <c r="M4" i="1"/>
  <c r="G4" i="1"/>
  <c r="M3" i="1"/>
  <c r="G3" i="1"/>
  <c r="J3" i="1"/>
  <c r="K3" i="1"/>
  <c r="I9" i="1"/>
  <c r="M9" i="1"/>
  <c r="H9" i="1"/>
  <c r="J9" i="1"/>
  <c r="K9" i="1"/>
  <c r="B22" i="3"/>
  <c r="B15" i="3"/>
  <c r="B8" i="3"/>
  <c r="B20" i="3"/>
  <c r="B14" i="3"/>
  <c r="B12" i="3"/>
  <c r="B11" i="3"/>
  <c r="B7" i="3"/>
  <c r="F8" i="3" s="1"/>
  <c r="B16" i="3"/>
  <c r="B18" i="3"/>
  <c r="B10" i="3"/>
  <c r="B13" i="3"/>
  <c r="B9" i="3"/>
  <c r="B19" i="3"/>
  <c r="B21" i="3"/>
  <c r="H23" i="4"/>
  <c r="E23" i="4"/>
  <c r="I23" i="4"/>
  <c r="D23" i="4"/>
  <c r="C23" i="4"/>
  <c r="B23" i="4" l="1"/>
  <c r="P59" i="4"/>
  <c r="N58" i="4"/>
  <c r="N14" i="4"/>
  <c r="N48" i="4"/>
  <c r="N32" i="4"/>
  <c r="N39" i="4"/>
  <c r="N47" i="4"/>
  <c r="N52" i="4"/>
  <c r="N18" i="4"/>
  <c r="N12" i="4"/>
  <c r="N50" i="4"/>
  <c r="N45" i="4"/>
  <c r="N51" i="4"/>
  <c r="N56" i="4"/>
  <c r="N22" i="4"/>
  <c r="N38" i="4"/>
  <c r="N15" i="4"/>
  <c r="N19" i="4"/>
  <c r="N55" i="4"/>
  <c r="N13" i="4"/>
  <c r="N26" i="4"/>
  <c r="N24" i="4"/>
  <c r="N54" i="4"/>
  <c r="N59" i="4"/>
  <c r="N17" i="4"/>
  <c r="N28" i="4"/>
  <c r="N43" i="4"/>
  <c r="N21" i="4"/>
  <c r="N30" i="4"/>
  <c r="N29" i="4"/>
  <c r="N9" i="4"/>
  <c r="N25" i="4"/>
  <c r="N34" i="4"/>
  <c r="N16" i="4"/>
  <c r="N33" i="4"/>
  <c r="N42" i="4"/>
  <c r="N11" i="4"/>
  <c r="N20" i="4"/>
  <c r="N37" i="4"/>
  <c r="N46" i="4"/>
  <c r="N41" i="4"/>
  <c r="N27" i="4"/>
  <c r="N36" i="4"/>
  <c r="N53" i="4"/>
  <c r="N31" i="4"/>
  <c r="N40" i="4"/>
  <c r="N57" i="4"/>
  <c r="N35" i="4"/>
  <c r="N44" i="4"/>
  <c r="N10" i="4"/>
  <c r="N49" i="4"/>
  <c r="K38" i="4"/>
  <c r="K25" i="4"/>
  <c r="K35" i="4"/>
  <c r="K15" i="4"/>
  <c r="K34" i="4"/>
  <c r="K58" i="4"/>
  <c r="K19" i="4"/>
  <c r="K16" i="4"/>
  <c r="K10" i="4"/>
  <c r="K44" i="4"/>
  <c r="K33" i="4"/>
  <c r="K48" i="4"/>
  <c r="K32" i="4"/>
  <c r="K11" i="4"/>
  <c r="K20" i="4"/>
  <c r="K52" i="4"/>
  <c r="K18" i="4"/>
  <c r="K39" i="4"/>
  <c r="K46" i="4"/>
  <c r="K41" i="4"/>
  <c r="K47" i="4"/>
  <c r="K37" i="4"/>
  <c r="K12" i="4"/>
  <c r="K28" i="4"/>
  <c r="K27" i="4"/>
  <c r="K50" i="4"/>
  <c r="K43" i="4"/>
  <c r="K36" i="4"/>
  <c r="K45" i="4"/>
  <c r="K21" i="4"/>
  <c r="K53" i="4"/>
  <c r="K51" i="4"/>
  <c r="K30" i="4"/>
  <c r="K31" i="4"/>
  <c r="K56" i="4"/>
  <c r="K29" i="4"/>
  <c r="K40" i="4"/>
  <c r="K22" i="4"/>
  <c r="K9" i="4"/>
  <c r="K57" i="4"/>
  <c r="K14" i="4"/>
  <c r="K55" i="4"/>
  <c r="K49" i="4"/>
  <c r="K13" i="4"/>
  <c r="K42" i="4"/>
  <c r="K26" i="4"/>
  <c r="K24" i="4"/>
  <c r="K54" i="4"/>
  <c r="K59" i="4"/>
  <c r="K17" i="4"/>
  <c r="F38" i="4"/>
  <c r="D38" i="4"/>
  <c r="C38" i="4"/>
  <c r="G38" i="4"/>
  <c r="E38" i="4"/>
  <c r="H38" i="4"/>
  <c r="I38" i="4"/>
  <c r="D25" i="4"/>
  <c r="G25" i="4"/>
  <c r="E25" i="4"/>
  <c r="H25" i="4"/>
  <c r="I25" i="4"/>
  <c r="F25" i="4"/>
  <c r="C25" i="4"/>
  <c r="I35" i="4"/>
  <c r="D35" i="4"/>
  <c r="C35" i="4"/>
  <c r="G35" i="4"/>
  <c r="H35" i="4"/>
  <c r="E35" i="4"/>
  <c r="F35" i="4"/>
  <c r="D15" i="4"/>
  <c r="G15" i="4"/>
  <c r="I15" i="4"/>
  <c r="F15" i="4"/>
  <c r="C15" i="4"/>
  <c r="E15" i="4"/>
  <c r="H15" i="4"/>
  <c r="D34" i="4"/>
  <c r="G34" i="4"/>
  <c r="I34" i="4"/>
  <c r="F34" i="4"/>
  <c r="C34" i="4"/>
  <c r="E34" i="4"/>
  <c r="H34" i="4"/>
  <c r="C58" i="4"/>
  <c r="G58" i="4"/>
  <c r="I58" i="4"/>
  <c r="H58" i="4"/>
  <c r="D58" i="4"/>
  <c r="E58" i="4"/>
  <c r="F58" i="4"/>
  <c r="D19" i="4"/>
  <c r="G19" i="4"/>
  <c r="E19" i="4"/>
  <c r="H19" i="4"/>
  <c r="F19" i="4"/>
  <c r="I19" i="4"/>
  <c r="C19" i="4"/>
  <c r="F16" i="4"/>
  <c r="C16" i="4"/>
  <c r="G16" i="4"/>
  <c r="E16" i="4"/>
  <c r="I16" i="4"/>
  <c r="H16" i="4"/>
  <c r="D16" i="4"/>
  <c r="G10" i="4"/>
  <c r="F10" i="4"/>
  <c r="I10" i="4"/>
  <c r="H10" i="4"/>
  <c r="E10" i="4"/>
  <c r="D10" i="4"/>
  <c r="C10" i="4"/>
  <c r="H44" i="4"/>
  <c r="F44" i="4"/>
  <c r="G44" i="4"/>
  <c r="D44" i="4"/>
  <c r="I44" i="4"/>
  <c r="E44" i="4"/>
  <c r="C44" i="4"/>
  <c r="E33" i="4"/>
  <c r="I33" i="4"/>
  <c r="G33" i="4"/>
  <c r="H33" i="4"/>
  <c r="F33" i="4"/>
  <c r="D33" i="4"/>
  <c r="C33" i="4"/>
  <c r="H48" i="4"/>
  <c r="D48" i="4"/>
  <c r="C48" i="4"/>
  <c r="F48" i="4"/>
  <c r="G48" i="4"/>
  <c r="E48" i="4"/>
  <c r="I48" i="4"/>
  <c r="C32" i="4"/>
  <c r="E32" i="4"/>
  <c r="G32" i="4"/>
  <c r="I32" i="4"/>
  <c r="F32" i="4"/>
  <c r="H32" i="4"/>
  <c r="D32" i="4"/>
  <c r="E11" i="4"/>
  <c r="H11" i="4"/>
  <c r="F11" i="4"/>
  <c r="I11" i="4"/>
  <c r="D11" i="4"/>
  <c r="G11" i="4"/>
  <c r="C11" i="4"/>
  <c r="G20" i="4"/>
  <c r="D20" i="4"/>
  <c r="C20" i="4"/>
  <c r="H20" i="4"/>
  <c r="I20" i="4"/>
  <c r="E20" i="4"/>
  <c r="F20" i="4"/>
  <c r="E52" i="4"/>
  <c r="H52" i="4"/>
  <c r="D52" i="4"/>
  <c r="F52" i="4"/>
  <c r="I52" i="4"/>
  <c r="C52" i="4"/>
  <c r="G52" i="4"/>
  <c r="H18" i="4"/>
  <c r="E18" i="4"/>
  <c r="C18" i="4"/>
  <c r="G18" i="4"/>
  <c r="I18" i="4"/>
  <c r="D18" i="4"/>
  <c r="F18" i="4"/>
  <c r="G39" i="4"/>
  <c r="I39" i="4"/>
  <c r="D39" i="4"/>
  <c r="F39" i="4"/>
  <c r="C39" i="4"/>
  <c r="H39" i="4"/>
  <c r="E39" i="4"/>
  <c r="C46" i="4"/>
  <c r="G46" i="4"/>
  <c r="E46" i="4"/>
  <c r="I46" i="4"/>
  <c r="D46" i="4"/>
  <c r="F46" i="4"/>
  <c r="H46" i="4"/>
  <c r="G41" i="4"/>
  <c r="D41" i="4"/>
  <c r="C41" i="4"/>
  <c r="F41" i="4"/>
  <c r="I41" i="4"/>
  <c r="E41" i="4"/>
  <c r="H41" i="4"/>
  <c r="E47" i="4"/>
  <c r="H47" i="4"/>
  <c r="C47" i="4"/>
  <c r="I47" i="4"/>
  <c r="G47" i="4"/>
  <c r="F47" i="4"/>
  <c r="D47" i="4"/>
  <c r="C37" i="4"/>
  <c r="H37" i="4"/>
  <c r="F37" i="4"/>
  <c r="I37" i="4"/>
  <c r="G37" i="4"/>
  <c r="E37" i="4"/>
  <c r="D37" i="4"/>
  <c r="I12" i="4"/>
  <c r="D12" i="4"/>
  <c r="C12" i="4"/>
  <c r="G12" i="4"/>
  <c r="F12" i="4"/>
  <c r="E12" i="4"/>
  <c r="H12" i="4"/>
  <c r="C28" i="4"/>
  <c r="D28" i="4"/>
  <c r="G28" i="4"/>
  <c r="E28" i="4"/>
  <c r="I28" i="4"/>
  <c r="F28" i="4"/>
  <c r="H28" i="4"/>
  <c r="E27" i="4"/>
  <c r="H27" i="4"/>
  <c r="C27" i="4"/>
  <c r="F27" i="4"/>
  <c r="I27" i="4"/>
  <c r="D27" i="4"/>
  <c r="G27" i="4"/>
  <c r="H50" i="4"/>
  <c r="E50" i="4"/>
  <c r="D50" i="4"/>
  <c r="F50" i="4"/>
  <c r="I50" i="4"/>
  <c r="C50" i="4"/>
  <c r="G50" i="4"/>
  <c r="G43" i="4"/>
  <c r="F43" i="4"/>
  <c r="I43" i="4"/>
  <c r="H43" i="4"/>
  <c r="C43" i="4"/>
  <c r="E43" i="4"/>
  <c r="D43" i="4"/>
  <c r="I36" i="4"/>
  <c r="D36" i="4"/>
  <c r="C36" i="4"/>
  <c r="G36" i="4"/>
  <c r="H36" i="4"/>
  <c r="F36" i="4"/>
  <c r="E36" i="4"/>
  <c r="F45" i="4"/>
  <c r="E45" i="4"/>
  <c r="D45" i="4"/>
  <c r="H45" i="4"/>
  <c r="C45" i="4"/>
  <c r="I45" i="4"/>
  <c r="G45" i="4"/>
  <c r="E21" i="4"/>
  <c r="D21" i="4"/>
  <c r="C21" i="4"/>
  <c r="H21" i="4"/>
  <c r="I21" i="4"/>
  <c r="F21" i="4"/>
  <c r="G21" i="4"/>
  <c r="F53" i="4"/>
  <c r="G53" i="4"/>
  <c r="E53" i="4"/>
  <c r="D53" i="4"/>
  <c r="C53" i="4"/>
  <c r="H53" i="4"/>
  <c r="I53" i="4"/>
  <c r="D51" i="4"/>
  <c r="C51" i="4"/>
  <c r="G51" i="4"/>
  <c r="E51" i="4"/>
  <c r="F51" i="4"/>
  <c r="H51" i="4"/>
  <c r="I51" i="4"/>
  <c r="I30" i="4"/>
  <c r="H30" i="4"/>
  <c r="D30" i="4"/>
  <c r="C30" i="4"/>
  <c r="G30" i="4"/>
  <c r="F30" i="4"/>
  <c r="E30" i="4"/>
  <c r="I31" i="4"/>
  <c r="G31" i="4"/>
  <c r="D31" i="4"/>
  <c r="C31" i="4"/>
  <c r="E31" i="4"/>
  <c r="H31" i="4"/>
  <c r="F31" i="4"/>
  <c r="C56" i="4"/>
  <c r="G56" i="4"/>
  <c r="D56" i="4"/>
  <c r="I56" i="4"/>
  <c r="E56" i="4"/>
  <c r="H56" i="4"/>
  <c r="F56" i="4"/>
  <c r="I29" i="4"/>
  <c r="F29" i="4"/>
  <c r="G29" i="4"/>
  <c r="D29" i="4"/>
  <c r="H29" i="4"/>
  <c r="C29" i="4"/>
  <c r="E29" i="4"/>
  <c r="I40" i="4"/>
  <c r="H40" i="4"/>
  <c r="F40" i="4"/>
  <c r="D40" i="4"/>
  <c r="G40" i="4"/>
  <c r="C40" i="4"/>
  <c r="E40" i="4"/>
  <c r="D22" i="4"/>
  <c r="C22" i="4"/>
  <c r="F22" i="4"/>
  <c r="E22" i="4"/>
  <c r="H22" i="4"/>
  <c r="I22" i="4"/>
  <c r="G22" i="4"/>
  <c r="G9" i="4"/>
  <c r="F9" i="4"/>
  <c r="I9" i="4"/>
  <c r="D9" i="4"/>
  <c r="H9" i="4"/>
  <c r="E9" i="4"/>
  <c r="C9" i="4"/>
  <c r="E57" i="4"/>
  <c r="D57" i="4"/>
  <c r="C57" i="4"/>
  <c r="G57" i="4"/>
  <c r="F57" i="4"/>
  <c r="H57" i="4"/>
  <c r="I57" i="4"/>
  <c r="G14" i="4"/>
  <c r="F14" i="4"/>
  <c r="H14" i="4"/>
  <c r="I14" i="4"/>
  <c r="D14" i="4"/>
  <c r="C14" i="4"/>
  <c r="E14" i="4"/>
  <c r="D55" i="4"/>
  <c r="C55" i="4"/>
  <c r="E55" i="4"/>
  <c r="G55" i="4"/>
  <c r="I55" i="4"/>
  <c r="H55" i="4"/>
  <c r="F55" i="4"/>
  <c r="E49" i="4"/>
  <c r="H49" i="4"/>
  <c r="G49" i="4"/>
  <c r="F49" i="4"/>
  <c r="I49" i="4"/>
  <c r="C49" i="4"/>
  <c r="D49" i="4"/>
  <c r="F13" i="4"/>
  <c r="I13" i="4"/>
  <c r="D13" i="4"/>
  <c r="G13" i="4"/>
  <c r="E13" i="4"/>
  <c r="C13" i="4"/>
  <c r="H13" i="4"/>
  <c r="F42" i="4"/>
  <c r="I42" i="4"/>
  <c r="D42" i="4"/>
  <c r="H42" i="4"/>
  <c r="C42" i="4"/>
  <c r="G42" i="4"/>
  <c r="E42" i="4"/>
  <c r="F26" i="4"/>
  <c r="I26" i="4"/>
  <c r="H26" i="4"/>
  <c r="D26" i="4"/>
  <c r="C26" i="4"/>
  <c r="G26" i="4"/>
  <c r="E26" i="4"/>
  <c r="F24" i="4"/>
  <c r="H24" i="4"/>
  <c r="D24" i="4"/>
  <c r="C24" i="4"/>
  <c r="E24" i="4"/>
  <c r="G24" i="4"/>
  <c r="I24" i="4"/>
  <c r="H54" i="4"/>
  <c r="I54" i="4"/>
  <c r="D54" i="4"/>
  <c r="C54" i="4"/>
  <c r="G54" i="4"/>
  <c r="F54" i="4"/>
  <c r="E54" i="4"/>
  <c r="E59" i="4"/>
  <c r="G59" i="4"/>
  <c r="H59" i="4"/>
  <c r="F59" i="4"/>
  <c r="D59" i="4"/>
  <c r="I59" i="4"/>
  <c r="C59" i="4"/>
  <c r="G17" i="4"/>
  <c r="D17" i="4"/>
  <c r="C17" i="4"/>
  <c r="E17" i="4"/>
  <c r="I17" i="4"/>
  <c r="H17" i="4"/>
  <c r="F17" i="4"/>
  <c r="B17" i="4" l="1"/>
  <c r="B59" i="4"/>
  <c r="B54" i="4"/>
  <c r="B24" i="4"/>
  <c r="B26" i="4"/>
  <c r="B42" i="4"/>
  <c r="B13" i="4"/>
  <c r="B49" i="4"/>
  <c r="B55" i="4"/>
  <c r="B14" i="4"/>
  <c r="B57" i="4"/>
  <c r="B9" i="4"/>
  <c r="B22" i="4"/>
  <c r="B40" i="4"/>
  <c r="B29" i="4"/>
  <c r="B56" i="4"/>
  <c r="B31" i="4"/>
  <c r="B30" i="4"/>
  <c r="B51" i="4"/>
  <c r="B53" i="4"/>
  <c r="B21" i="4"/>
  <c r="B45" i="4"/>
  <c r="B36" i="4"/>
  <c r="B43" i="4"/>
  <c r="B50" i="4"/>
  <c r="B27" i="4"/>
  <c r="B28" i="4"/>
  <c r="B12" i="4"/>
  <c r="B37" i="4"/>
  <c r="B47" i="4"/>
  <c r="B41" i="4"/>
  <c r="B46" i="4"/>
  <c r="B39" i="4"/>
  <c r="B18" i="4"/>
  <c r="B52" i="4"/>
  <c r="B20" i="4"/>
  <c r="B11" i="4"/>
  <c r="B32" i="4"/>
  <c r="B48" i="4"/>
  <c r="B33" i="4"/>
  <c r="B44" i="4"/>
  <c r="B10" i="4"/>
  <c r="B16" i="4"/>
  <c r="B19" i="4"/>
  <c r="B58" i="4"/>
  <c r="B34" i="4"/>
  <c r="B15" i="4"/>
  <c r="B35" i="4"/>
  <c r="B25" i="4"/>
  <c r="B38" i="4"/>
  <c r="A17" i="4"/>
  <c r="A59" i="4"/>
  <c r="A54" i="4"/>
  <c r="A24" i="4"/>
  <c r="A26" i="4"/>
  <c r="A42" i="4"/>
  <c r="A13" i="4"/>
  <c r="A49" i="4"/>
  <c r="A55" i="4"/>
  <c r="A14" i="4"/>
  <c r="A57" i="4"/>
  <c r="A9" i="4"/>
  <c r="A22" i="4"/>
  <c r="A40" i="4"/>
  <c r="A29" i="4"/>
  <c r="A56" i="4"/>
  <c r="A31" i="4"/>
  <c r="A30" i="4"/>
  <c r="A51" i="4"/>
  <c r="A53" i="4"/>
  <c r="A21" i="4"/>
  <c r="A45" i="4"/>
  <c r="A36" i="4"/>
  <c r="A43" i="4"/>
  <c r="A50" i="4"/>
  <c r="A27" i="4"/>
  <c r="A28" i="4"/>
  <c r="A12" i="4"/>
  <c r="A37" i="4"/>
  <c r="A47" i="4"/>
  <c r="A41" i="4"/>
  <c r="A46" i="4"/>
  <c r="A39" i="4"/>
  <c r="A18" i="4"/>
  <c r="A52" i="4"/>
  <c r="A20" i="4"/>
  <c r="A11" i="4"/>
  <c r="A32" i="4"/>
  <c r="A48" i="4"/>
  <c r="A33" i="4"/>
  <c r="A44" i="4"/>
  <c r="A10" i="4"/>
  <c r="A16" i="4"/>
  <c r="A19" i="4"/>
  <c r="A58" i="4"/>
  <c r="A34" i="4"/>
  <c r="A15" i="4"/>
  <c r="A35" i="4"/>
  <c r="A25" i="4"/>
  <c r="A38" i="4"/>
</calcChain>
</file>

<file path=xl/comments1.xml><?xml version="1.0" encoding="utf-8"?>
<comments xmlns="http://schemas.openxmlformats.org/spreadsheetml/2006/main">
  <authors>
    <author>fornac1a</author>
  </authors>
  <commentList>
    <comment ref="J7" authorId="0">
      <text>
        <r>
          <rPr>
            <sz val="8"/>
            <color indexed="81"/>
            <rFont val="Tahoma"/>
          </rPr>
          <t xml:space="preserve">
qlPayoffThirdParameter is forced to return 0 value for the time being</t>
        </r>
      </text>
    </comment>
    <comment ref="M7" authorId="0">
      <text>
        <r>
          <rPr>
            <b/>
            <sz val="8"/>
            <color indexed="81"/>
            <rFont val="Tahoma"/>
            <family val="2"/>
          </rPr>
          <t xml:space="preserve">
the value of a gap option can be negative, see Haug. Page 88.  The same payoff is replicated in BBG OVX function for binary option. The reference is "Unscrambling the Binary Code" Risk4 Oct 1991, M.Rubistein E.Reiner</t>
        </r>
      </text>
    </comment>
    <comment ref="J8" authorId="0">
      <text>
        <r>
          <rPr>
            <sz val="8"/>
            <color indexed="81"/>
            <rFont val="Tahoma"/>
          </rPr>
          <t xml:space="preserve">
qlPayoffThirdParameter is forced to return 0 value for the time being</t>
        </r>
      </text>
    </comment>
    <comment ref="A9" authorId="0">
      <text>
        <r>
          <rPr>
            <sz val="8"/>
            <color indexed="81"/>
            <rFont val="Tahoma"/>
          </rPr>
          <t xml:space="preserve">
qlStrikedPayoff should accept as an input also cashPayoff for SuperShare Payoff. Is left as it is for the time being.</t>
        </r>
      </text>
    </comment>
    <comment ref="J9" authorId="0">
      <text>
        <r>
          <rPr>
            <sz val="8"/>
            <color indexed="81"/>
            <rFont val="Tahoma"/>
          </rPr>
          <t xml:space="preserve">
qlPayoffThirdParameter is forced to return 0 value for the time being</t>
        </r>
      </text>
    </comment>
    <comment ref="M9" authorId="0">
      <text>
        <r>
          <rPr>
            <sz val="8"/>
            <color indexed="81"/>
            <rFont val="Tahoma"/>
          </rPr>
          <t xml:space="preserve">this value is forced to return 0 for SuperShare payoff until qlStrikedPayoff won't accept cash amount as an additional input parameter
</t>
        </r>
      </text>
    </comment>
  </commentList>
</comments>
</file>

<file path=xl/sharedStrings.xml><?xml version="1.0" encoding="utf-8"?>
<sst xmlns="http://schemas.openxmlformats.org/spreadsheetml/2006/main" count="109" uniqueCount="52">
  <si>
    <t>Vanilla</t>
  </si>
  <si>
    <t>CashOrNothing</t>
  </si>
  <si>
    <t>AssetOrNothing</t>
  </si>
  <si>
    <t>Call</t>
  </si>
  <si>
    <t>PercentageStrike</t>
  </si>
  <si>
    <t>Gap</t>
  </si>
  <si>
    <t>SuperShare</t>
  </si>
  <si>
    <t>Put</t>
  </si>
  <si>
    <t>Option Type</t>
  </si>
  <si>
    <t>Strike</t>
  </si>
  <si>
    <t>3rd parameter</t>
  </si>
  <si>
    <t>Underlying</t>
  </si>
  <si>
    <t>Payoff Value</t>
  </si>
  <si>
    <t>Constructor</t>
  </si>
  <si>
    <t>Description</t>
  </si>
  <si>
    <t>Inspectors</t>
  </si>
  <si>
    <t>Object ID</t>
  </si>
  <si>
    <t>Payoff</t>
  </si>
  <si>
    <t>forward value</t>
  </si>
  <si>
    <t>discount factor</t>
  </si>
  <si>
    <t>value</t>
  </si>
  <si>
    <t>delta</t>
  </si>
  <si>
    <t>delta forward</t>
  </si>
  <si>
    <t>elasticity forward</t>
  </si>
  <si>
    <t>gamma forward</t>
  </si>
  <si>
    <t>itm cash prob</t>
  </si>
  <si>
    <t>strike sensitivity</t>
  </si>
  <si>
    <t>Payoff Type</t>
  </si>
  <si>
    <t>Type</t>
  </si>
  <si>
    <t>itm asset prob</t>
  </si>
  <si>
    <t>vega</t>
  </si>
  <si>
    <t>rho</t>
  </si>
  <si>
    <t>dividend rho</t>
  </si>
  <si>
    <t>Time To Maturity</t>
  </si>
  <si>
    <t>spot value</t>
  </si>
  <si>
    <t>elasticity</t>
  </si>
  <si>
    <t>gamma</t>
  </si>
  <si>
    <t>theta</t>
  </si>
  <si>
    <t>thetaPerDay</t>
  </si>
  <si>
    <t>vol</t>
  </si>
  <si>
    <t>std Dev</t>
  </si>
  <si>
    <t>implied std dev</t>
  </si>
  <si>
    <t>dividend discount factor</t>
  </si>
  <si>
    <t>divRho</t>
  </si>
  <si>
    <t>payoff</t>
  </si>
  <si>
    <t>strike</t>
  </si>
  <si>
    <t>stdDev</t>
  </si>
  <si>
    <t>spot</t>
  </si>
  <si>
    <t>time</t>
  </si>
  <si>
    <t>2nd strike</t>
  </si>
  <si>
    <t>Cash amount</t>
  </si>
  <si>
    <t>SuperFund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</si>
</sst>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9" formatCode="0.00000"/>
    <numFmt numFmtId="172" formatCode="0.000%"/>
  </numFmts>
  <fonts count="8" x14ac:knownFonts="1">
    <font>
      <sz val="10"/>
      <name val="Arial"/>
    </font>
    <font>
      <sz val="10"/>
      <name val="Arial"/>
    </font>
    <font>
      <sz val="8"/>
      <name val="Arial"/>
    </font>
    <font>
      <b/>
      <sz val="8"/>
      <name val="Arial"/>
      <family val="2"/>
    </font>
    <font>
      <b/>
      <sz val="10"/>
      <name val="Arial"/>
      <family val="2"/>
    </font>
    <font>
      <sz val="8"/>
      <color indexed="81"/>
      <name val="Tahoma"/>
    </font>
    <font>
      <b/>
      <sz val="8"/>
      <color indexed="53"/>
      <name val="Arial"/>
      <family val="2"/>
    </font>
    <font>
      <b/>
      <sz val="8"/>
      <color indexed="81"/>
      <name val="Tahoma"/>
      <family val="2"/>
    </font>
  </fonts>
  <fills count="6">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gray0625">
        <fgColor indexed="22"/>
        <bgColor indexed="43"/>
      </patternFill>
    </fill>
    <fill>
      <patternFill patternType="gray0625">
        <fgColor indexed="22"/>
        <bgColor indexed="26"/>
      </patternFill>
    </fill>
  </fills>
  <borders count="28">
    <border>
      <left/>
      <right/>
      <top/>
      <bottom/>
      <diagonal/>
    </border>
    <border>
      <left/>
      <right style="medium">
        <color indexed="64"/>
      </right>
      <top/>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s>
  <cellStyleXfs count="2">
    <xf numFmtId="0" fontId="0" fillId="0" borderId="0"/>
    <xf numFmtId="9" fontId="1" fillId="0" borderId="0" applyFont="0" applyFill="0" applyBorder="0" applyAlignment="0" applyProtection="0"/>
  </cellStyleXfs>
  <cellXfs count="71">
    <xf numFmtId="0" fontId="0" fillId="0" borderId="0" xfId="0"/>
    <xf numFmtId="0" fontId="2" fillId="0" borderId="0" xfId="0" applyFont="1"/>
    <xf numFmtId="0" fontId="2" fillId="2" borderId="0" xfId="0" applyFont="1" applyFill="1" applyBorder="1"/>
    <xf numFmtId="2" fontId="2" fillId="0" borderId="1" xfId="0" applyNumberFormat="1" applyFont="1" applyBorder="1"/>
    <xf numFmtId="165" fontId="2" fillId="0" borderId="1" xfId="0" applyNumberFormat="1" applyFont="1" applyBorder="1"/>
    <xf numFmtId="2" fontId="2" fillId="0" borderId="2" xfId="0" applyNumberFormat="1" applyFont="1" applyBorder="1"/>
    <xf numFmtId="0" fontId="2" fillId="2" borderId="3" xfId="0" applyFont="1" applyFill="1" applyBorder="1" applyAlignment="1">
      <alignment horizontal="center"/>
    </xf>
    <xf numFmtId="10" fontId="2" fillId="0" borderId="4" xfId="1" applyNumberFormat="1" applyFont="1" applyBorder="1" applyAlignment="1">
      <alignment horizontal="center"/>
    </xf>
    <xf numFmtId="2" fontId="2" fillId="2" borderId="0" xfId="0" applyNumberFormat="1" applyFont="1" applyFill="1"/>
    <xf numFmtId="169" fontId="2" fillId="2" borderId="0" xfId="0" applyNumberFormat="1" applyFont="1" applyFill="1"/>
    <xf numFmtId="0" fontId="2" fillId="2" borderId="0" xfId="0" applyFont="1" applyFill="1"/>
    <xf numFmtId="164" fontId="2" fillId="2" borderId="0" xfId="0" applyNumberFormat="1" applyFont="1" applyFill="1"/>
    <xf numFmtId="9" fontId="2" fillId="2" borderId="0" xfId="1" applyNumberFormat="1" applyFont="1" applyFill="1"/>
    <xf numFmtId="0" fontId="2" fillId="3" borderId="0" xfId="0" applyFont="1" applyFill="1" applyBorder="1"/>
    <xf numFmtId="2" fontId="2" fillId="3" borderId="0" xfId="0" applyNumberFormat="1" applyFont="1" applyFill="1" applyBorder="1"/>
    <xf numFmtId="2" fontId="2" fillId="3" borderId="5" xfId="0" applyNumberFormat="1" applyFont="1" applyFill="1" applyBorder="1"/>
    <xf numFmtId="10" fontId="2" fillId="3" borderId="0" xfId="1" applyNumberFormat="1" applyFont="1" applyFill="1" applyBorder="1"/>
    <xf numFmtId="0" fontId="2" fillId="3" borderId="6" xfId="0" applyFont="1" applyFill="1" applyBorder="1"/>
    <xf numFmtId="2" fontId="2" fillId="3" borderId="6" xfId="0" applyNumberFormat="1" applyFont="1" applyFill="1" applyBorder="1"/>
    <xf numFmtId="2" fontId="2" fillId="3" borderId="7" xfId="0" applyNumberFormat="1" applyFont="1" applyFill="1" applyBorder="1"/>
    <xf numFmtId="164" fontId="2" fillId="4" borderId="1" xfId="0" applyNumberFormat="1" applyFont="1" applyFill="1" applyBorder="1"/>
    <xf numFmtId="164" fontId="2" fillId="4" borderId="8" xfId="0" applyNumberFormat="1" applyFont="1" applyFill="1" applyBorder="1"/>
    <xf numFmtId="0" fontId="3" fillId="3" borderId="9" xfId="0" applyFont="1" applyFill="1" applyBorder="1"/>
    <xf numFmtId="0" fontId="3" fillId="3" borderId="10" xfId="0" applyFont="1" applyFill="1" applyBorder="1"/>
    <xf numFmtId="0" fontId="3" fillId="3" borderId="11" xfId="0" applyFont="1" applyFill="1" applyBorder="1"/>
    <xf numFmtId="0" fontId="3" fillId="3" borderId="0" xfId="0" applyFont="1" applyFill="1"/>
    <xf numFmtId="0" fontId="3" fillId="3" borderId="12" xfId="0" applyFont="1" applyFill="1" applyBorder="1"/>
    <xf numFmtId="0" fontId="3" fillId="3" borderId="13" xfId="0" applyFont="1" applyFill="1" applyBorder="1"/>
    <xf numFmtId="0" fontId="3" fillId="3" borderId="14" xfId="0" applyFont="1" applyFill="1" applyBorder="1"/>
    <xf numFmtId="0" fontId="3" fillId="3" borderId="2" xfId="0" applyFont="1" applyFill="1" applyBorder="1"/>
    <xf numFmtId="0" fontId="2" fillId="3" borderId="0" xfId="0" applyFont="1" applyFill="1"/>
    <xf numFmtId="0" fontId="2" fillId="3" borderId="15" xfId="0" applyFont="1" applyFill="1" applyBorder="1"/>
    <xf numFmtId="2" fontId="2" fillId="3" borderId="8" xfId="0" applyNumberFormat="1" applyFont="1" applyFill="1" applyBorder="1"/>
    <xf numFmtId="0" fontId="3" fillId="3" borderId="16" xfId="0" applyFont="1" applyFill="1" applyBorder="1"/>
    <xf numFmtId="0" fontId="3" fillId="3" borderId="17" xfId="0" applyFont="1" applyFill="1" applyBorder="1"/>
    <xf numFmtId="0" fontId="3" fillId="3" borderId="18" xfId="0" applyFont="1" applyFill="1" applyBorder="1"/>
    <xf numFmtId="0" fontId="3" fillId="3" borderId="3" xfId="0" applyFont="1" applyFill="1" applyBorder="1" applyAlignment="1">
      <alignment horizontal="center"/>
    </xf>
    <xf numFmtId="0" fontId="3" fillId="3" borderId="15" xfId="0" applyFont="1" applyFill="1" applyBorder="1"/>
    <xf numFmtId="0" fontId="3" fillId="3" borderId="19" xfId="0" applyFont="1" applyFill="1" applyBorder="1"/>
    <xf numFmtId="0" fontId="3" fillId="3" borderId="20" xfId="0" applyFont="1" applyFill="1" applyBorder="1"/>
    <xf numFmtId="172" fontId="2" fillId="5" borderId="4" xfId="1" applyNumberFormat="1" applyFont="1" applyFill="1" applyBorder="1" applyAlignment="1">
      <alignment horizontal="center"/>
    </xf>
    <xf numFmtId="172" fontId="2" fillId="4" borderId="1" xfId="0" applyNumberFormat="1" applyFont="1" applyFill="1" applyBorder="1"/>
    <xf numFmtId="0" fontId="2" fillId="4" borderId="1" xfId="0" applyFont="1" applyFill="1" applyBorder="1"/>
    <xf numFmtId="2" fontId="2" fillId="4" borderId="1" xfId="0" applyNumberFormat="1" applyFont="1" applyFill="1" applyBorder="1"/>
    <xf numFmtId="2" fontId="2" fillId="4" borderId="2" xfId="0" applyNumberFormat="1" applyFont="1" applyFill="1" applyBorder="1"/>
    <xf numFmtId="2" fontId="2" fillId="4" borderId="8" xfId="0" applyNumberFormat="1" applyFont="1" applyFill="1" applyBorder="1"/>
    <xf numFmtId="0" fontId="2" fillId="4" borderId="8" xfId="0" applyFont="1" applyFill="1" applyBorder="1"/>
    <xf numFmtId="0" fontId="0" fillId="3" borderId="0" xfId="0" applyFill="1"/>
    <xf numFmtId="172" fontId="2" fillId="3" borderId="0" xfId="0" applyNumberFormat="1" applyFont="1" applyFill="1" applyBorder="1"/>
    <xf numFmtId="0" fontId="2" fillId="4" borderId="21" xfId="0" applyFont="1" applyFill="1" applyBorder="1"/>
    <xf numFmtId="0" fontId="2" fillId="4" borderId="22" xfId="0" applyFont="1" applyFill="1" applyBorder="1"/>
    <xf numFmtId="0" fontId="2" fillId="4" borderId="0" xfId="0" applyFont="1" applyFill="1" applyBorder="1"/>
    <xf numFmtId="2" fontId="2" fillId="4" borderId="0" xfId="0" applyNumberFormat="1" applyFont="1" applyFill="1" applyBorder="1"/>
    <xf numFmtId="0" fontId="2" fillId="4" borderId="5" xfId="0" applyFont="1" applyFill="1" applyBorder="1"/>
    <xf numFmtId="10" fontId="2" fillId="4" borderId="0" xfId="1" applyNumberFormat="1" applyFont="1" applyFill="1" applyBorder="1"/>
    <xf numFmtId="0" fontId="2" fillId="4" borderId="6" xfId="0" applyFont="1" applyFill="1" applyBorder="1"/>
    <xf numFmtId="2" fontId="2" fillId="4" borderId="6" xfId="0" applyNumberFormat="1" applyFont="1" applyFill="1" applyBorder="1"/>
    <xf numFmtId="0" fontId="2" fillId="4" borderId="7" xfId="0" applyFont="1" applyFill="1" applyBorder="1"/>
    <xf numFmtId="9" fontId="2" fillId="3" borderId="0" xfId="0" applyNumberFormat="1" applyFont="1" applyFill="1"/>
    <xf numFmtId="2" fontId="2" fillId="3" borderId="0" xfId="0" applyNumberFormat="1" applyFont="1" applyFill="1"/>
    <xf numFmtId="164" fontId="2" fillId="3" borderId="0" xfId="0" applyNumberFormat="1" applyFont="1" applyFill="1" applyBorder="1"/>
    <xf numFmtId="2" fontId="6" fillId="4" borderId="0" xfId="0" applyNumberFormat="1" applyFont="1" applyFill="1" applyBorder="1"/>
    <xf numFmtId="2" fontId="6" fillId="4" borderId="6" xfId="0" applyNumberFormat="1" applyFont="1" applyFill="1" applyBorder="1"/>
    <xf numFmtId="0" fontId="3" fillId="3" borderId="23" xfId="0" applyFont="1" applyFill="1" applyBorder="1"/>
    <xf numFmtId="0" fontId="2" fillId="3" borderId="24" xfId="0" applyFont="1" applyFill="1" applyBorder="1"/>
    <xf numFmtId="0" fontId="2" fillId="3" borderId="25" xfId="0" applyFont="1" applyFill="1" applyBorder="1"/>
    <xf numFmtId="0" fontId="3" fillId="3" borderId="10" xfId="0" applyFont="1" applyFill="1" applyBorder="1" applyAlignment="1">
      <alignment horizontal="center"/>
    </xf>
    <xf numFmtId="0" fontId="4" fillId="3" borderId="10" xfId="0" applyFont="1" applyFill="1" applyBorder="1" applyAlignment="1">
      <alignment horizontal="center"/>
    </xf>
    <xf numFmtId="0" fontId="4" fillId="3" borderId="26" xfId="0" applyFont="1" applyFill="1" applyBorder="1" applyAlignment="1">
      <alignment horizontal="center"/>
    </xf>
    <xf numFmtId="0" fontId="3" fillId="3" borderId="27" xfId="0" applyFont="1" applyFill="1" applyBorder="1" applyAlignment="1">
      <alignment horizontal="center"/>
    </xf>
    <xf numFmtId="0" fontId="3" fillId="3" borderId="26"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8309602219494E-2"/>
          <c:y val="0.13138717349826429"/>
          <c:w val="0.84094893610692967"/>
          <c:h val="0.75912589132330477"/>
        </c:manualLayout>
      </c:layout>
      <c:scatterChart>
        <c:scatterStyle val="lineMarker"/>
        <c:varyColors val="0"/>
        <c:ser>
          <c:idx val="0"/>
          <c:order val="0"/>
          <c:tx>
            <c:strRef>
              <c:f>Charts!$B$8</c:f>
              <c:strCache>
                <c:ptCount val="1"/>
                <c:pt idx="0">
                  <c:v>value</c:v>
                </c:pt>
              </c:strCache>
            </c:strRef>
          </c:tx>
          <c:spPr>
            <a:ln w="12700">
              <a:solidFill>
                <a:srgbClr val="000080"/>
              </a:solidFill>
              <a:prstDash val="solid"/>
            </a:ln>
          </c:spPr>
          <c:marker>
            <c:symbol val="none"/>
          </c:marker>
          <c:xVal>
            <c:numRef>
              <c:f>Charts!$A$9:$A$59</c:f>
              <c:numCache>
                <c:formatCode>0.00</c:formatCode>
                <c:ptCount val="51"/>
                <c:pt idx="0">
                  <c:v>10.456395525912733</c:v>
                </c:pt>
                <c:pt idx="1">
                  <c:v>10.958967592539919</c:v>
                </c:pt>
                <c:pt idx="2">
                  <c:v>11.485695084574262</c:v>
                </c:pt>
                <c:pt idx="3">
                  <c:v>12.037738998846558</c:v>
                </c:pt>
                <c:pt idx="4">
                  <c:v>12.616316133880947</c:v>
                </c:pt>
                <c:pt idx="5">
                  <c:v>13.222701771925466</c:v>
                </c:pt>
                <c:pt idx="6">
                  <c:v>13.858232489890677</c:v>
                </c:pt>
                <c:pt idx="7">
                  <c:v>14.524309105392124</c:v>
                </c:pt>
                <c:pt idx="8">
                  <c:v>15.222399764390202</c:v>
                </c:pt>
                <c:pt idx="9">
                  <c:v>15.954043177233173</c:v>
                </c:pt>
                <c:pt idx="10">
                  <c:v>16.72085201023603</c:v>
                </c:pt>
                <c:pt idx="11">
                  <c:v>17.524516440270883</c:v>
                </c:pt>
                <c:pt idx="12">
                  <c:v>18.36680788020379</c:v>
                </c:pt>
                <c:pt idx="13">
                  <c:v>19.249582883389483</c:v>
                </c:pt>
                <c:pt idx="14">
                  <c:v>20.174787235830227</c:v>
                </c:pt>
                <c:pt idx="15">
                  <c:v>21.144460245018543</c:v>
                </c:pt>
                <c:pt idx="16">
                  <c:v>22.160739234917191</c:v>
                </c:pt>
                <c:pt idx="17">
                  <c:v>23.225864256984135</c:v>
                </c:pt>
                <c:pt idx="18">
                  <c:v>24.342183027626287</c:v>
                </c:pt>
                <c:pt idx="19">
                  <c:v>25.512156102965122</c:v>
                </c:pt>
                <c:pt idx="20">
                  <c:v>26.738362302320166</c:v>
                </c:pt>
                <c:pt idx="21">
                  <c:v>28.023504392364668</c:v>
                </c:pt>
                <c:pt idx="22">
                  <c:v>29.370415044482275</c:v>
                </c:pt>
                <c:pt idx="23">
                  <c:v>30.782063078455753</c:v>
                </c:pt>
                <c:pt idx="24">
                  <c:v>32.261560006249859</c:v>
                </c:pt>
                <c:pt idx="25">
                  <c:v>33.812166890312099</c:v>
                </c:pt>
                <c:pt idx="26">
                  <c:v>35.437301531508083</c:v>
                </c:pt>
                <c:pt idx="27">
                  <c:v>37.140546002534933</c:v>
                </c:pt>
                <c:pt idx="28">
                  <c:v>38.925654543417785</c:v>
                </c:pt>
                <c:pt idx="29">
                  <c:v>40.796561836492252</c:v>
                </c:pt>
                <c:pt idx="30">
                  <c:v>42.757391679112438</c:v>
                </c:pt>
                <c:pt idx="31">
                  <c:v>44.812466073200419</c:v>
                </c:pt>
                <c:pt idx="32">
                  <c:v>46.966314751672542</c:v>
                </c:pt>
                <c:pt idx="33">
                  <c:v>49.223685162739756</c:v>
                </c:pt>
                <c:pt idx="34">
                  <c:v>51.589552934089639</c:v>
                </c:pt>
                <c:pt idx="35">
                  <c:v>54.069132840014703</c:v>
                </c:pt>
                <c:pt idx="36">
                  <c:v>56.667890295660428</c:v>
                </c:pt>
                <c:pt idx="37">
                  <c:v>59.391553403728132</c:v>
                </c:pt>
                <c:pt idx="38">
                  <c:v>62.246125580186145</c:v>
                </c:pt>
                <c:pt idx="39">
                  <c:v>65.237898786817865</c:v>
                </c:pt>
                <c:pt idx="40">
                  <c:v>68.373467399773929</c:v>
                </c:pt>
                <c:pt idx="41">
                  <c:v>71.659742744696999</c:v>
                </c:pt>
                <c:pt idx="42">
                  <c:v>75.103968330456979</c:v>
                </c:pt>
                <c:pt idx="43">
                  <c:v>78.713735815074557</c:v>
                </c:pt>
                <c:pt idx="44">
                  <c:v>82.497001739024498</c:v>
                </c:pt>
                <c:pt idx="45">
                  <c:v>86.462105062801939</c:v>
                </c:pt>
                <c:pt idx="46">
                  <c:v>90.617785547407195</c:v>
                </c:pt>
                <c:pt idx="47">
                  <c:v>94.973203018263064</c:v>
                </c:pt>
                <c:pt idx="48">
                  <c:v>99.537957555025429</c:v>
                </c:pt>
                <c:pt idx="49">
                  <c:v>104.3221106517888</c:v>
                </c:pt>
                <c:pt idx="50">
                  <c:v>109.336207394328</c:v>
                </c:pt>
              </c:numCache>
            </c:numRef>
          </c:xVal>
          <c:yVal>
            <c:numRef>
              <c:f>Charts!$B$9:$B$59</c:f>
              <c:numCache>
                <c:formatCode>0.00000</c:formatCode>
                <c:ptCount val="51"/>
                <c:pt idx="0">
                  <c:v>1.4425987543284155E-15</c:v>
                </c:pt>
                <c:pt idx="1">
                  <c:v>9.5544156228214E-15</c:v>
                </c:pt>
                <c:pt idx="2">
                  <c:v>5.9987189945410465E-14</c:v>
                </c:pt>
                <c:pt idx="3">
                  <c:v>3.5706673453590283E-13</c:v>
                </c:pt>
                <c:pt idx="4">
                  <c:v>2.0152122216090776E-12</c:v>
                </c:pt>
                <c:pt idx="5">
                  <c:v>1.0785008073692212E-11</c:v>
                </c:pt>
                <c:pt idx="6">
                  <c:v>5.4739441281022506E-11</c:v>
                </c:pt>
                <c:pt idx="7">
                  <c:v>2.6352208253637574E-10</c:v>
                </c:pt>
                <c:pt idx="8">
                  <c:v>1.2034614229882086E-9</c:v>
                </c:pt>
                <c:pt idx="9">
                  <c:v>5.2144885741727245E-9</c:v>
                </c:pt>
                <c:pt idx="10">
                  <c:v>2.1440370645393185E-8</c:v>
                </c:pt>
                <c:pt idx="11">
                  <c:v>8.3670556635608083E-8</c:v>
                </c:pt>
                <c:pt idx="12">
                  <c:v>3.0997193976683709E-7</c:v>
                </c:pt>
                <c:pt idx="13">
                  <c:v>1.090384266300513E-6</c:v>
                </c:pt>
                <c:pt idx="14">
                  <c:v>3.6429447272715541E-6</c:v>
                </c:pt>
                <c:pt idx="15">
                  <c:v>1.1562755060577981E-5</c:v>
                </c:pt>
                <c:pt idx="16">
                  <c:v>3.4876977905694121E-5</c:v>
                </c:pt>
                <c:pt idx="17">
                  <c:v>1.0000761084494195E-4</c:v>
                </c:pt>
                <c:pt idx="18">
                  <c:v>2.7271481987772937E-4</c:v>
                </c:pt>
                <c:pt idx="19">
                  <c:v>7.075382084773419E-4</c:v>
                </c:pt>
                <c:pt idx="20">
                  <c:v>1.7472793987529725E-3</c:v>
                </c:pt>
                <c:pt idx="21">
                  <c:v>4.1093846427770614E-3</c:v>
                </c:pt>
                <c:pt idx="22">
                  <c:v>9.2098414968787012E-3</c:v>
                </c:pt>
                <c:pt idx="23">
                  <c:v>1.9682466236775775E-2</c:v>
                </c:pt>
                <c:pt idx="24">
                  <c:v>4.014083278566094E-2</c:v>
                </c:pt>
                <c:pt idx="25">
                  <c:v>7.8188242375914707E-2</c:v>
                </c:pt>
                <c:pt idx="26">
                  <c:v>0.14559947465251755</c:v>
                </c:pt>
                <c:pt idx="27">
                  <c:v>0.2594826913350472</c:v>
                </c:pt>
                <c:pt idx="28">
                  <c:v>0.44311012194424215</c:v>
                </c:pt>
                <c:pt idx="29">
                  <c:v>0.72603435019224971</c:v>
                </c:pt>
                <c:pt idx="30">
                  <c:v>1.1431429379236562</c:v>
                </c:pt>
                <c:pt idx="31">
                  <c:v>1.7324853700749898</c:v>
                </c:pt>
                <c:pt idx="32">
                  <c:v>2.5320165546759235</c:v>
                </c:pt>
                <c:pt idx="33">
                  <c:v>3.575756456647472</c:v>
                </c:pt>
                <c:pt idx="34">
                  <c:v>4.8901350935645489</c:v>
                </c:pt>
                <c:pt idx="35">
                  <c:v>6.4913522016186924</c:v>
                </c:pt>
                <c:pt idx="36">
                  <c:v>8.3843774172505618</c:v>
                </c:pt>
                <c:pt idx="37">
                  <c:v>10.563802248473927</c:v>
                </c:pt>
                <c:pt idx="38">
                  <c:v>13.016273141148986</c:v>
                </c:pt>
                <c:pt idx="39">
                  <c:v>15.723857698652616</c:v>
                </c:pt>
                <c:pt idx="40">
                  <c:v>18.667546526707376</c:v>
                </c:pt>
                <c:pt idx="41">
                  <c:v>21.830194697340964</c:v>
                </c:pt>
                <c:pt idx="42">
                  <c:v>25.198484960945237</c:v>
                </c:pt>
                <c:pt idx="43">
                  <c:v>28.763823841584376</c:v>
                </c:pt>
                <c:pt idx="44">
                  <c:v>32.522346023158249</c:v>
                </c:pt>
                <c:pt idx="45">
                  <c:v>36.47433972938753</c:v>
                </c:pt>
                <c:pt idx="46">
                  <c:v>40.623416156732681</c:v>
                </c:pt>
                <c:pt idx="47">
                  <c:v>44.97567184090537</c:v>
                </c:pt>
                <c:pt idx="48">
                  <c:v>49.538988288808419</c:v>
                </c:pt>
                <c:pt idx="49">
                  <c:v>54.322520198286007</c:v>
                </c:pt>
                <c:pt idx="50">
                  <c:v>59.336362191055024</c:v>
                </c:pt>
              </c:numCache>
            </c:numRef>
          </c:yVal>
          <c:smooth val="0"/>
        </c:ser>
        <c:dLbls>
          <c:showLegendKey val="0"/>
          <c:showVal val="0"/>
          <c:showCatName val="0"/>
          <c:showSerName val="0"/>
          <c:showPercent val="0"/>
          <c:showBubbleSize val="0"/>
        </c:dLbls>
        <c:axId val="266060928"/>
        <c:axId val="286671232"/>
      </c:scatterChart>
      <c:valAx>
        <c:axId val="266060928"/>
        <c:scaling>
          <c:orientation val="minMax"/>
        </c:scaling>
        <c:delete val="0"/>
        <c:axPos val="b"/>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86671232"/>
        <c:crosses val="autoZero"/>
        <c:crossBetween val="midCat"/>
      </c:valAx>
      <c:valAx>
        <c:axId val="286671232"/>
        <c:scaling>
          <c:orientation val="minMax"/>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66060928"/>
        <c:crosses val="autoZero"/>
        <c:crossBetween val="midCat"/>
      </c:valAx>
      <c:spPr>
        <a:solidFill>
          <a:srgbClr val="C0C0C0"/>
        </a:solidFill>
        <a:ln w="12700">
          <a:solidFill>
            <a:srgbClr val="808080"/>
          </a:solidFill>
          <a:prstDash val="solid"/>
        </a:ln>
      </c:spPr>
    </c:plotArea>
    <c:legend>
      <c:legendPos val="t"/>
      <c:layout>
        <c:manualLayout>
          <c:xMode val="edge"/>
          <c:yMode val="edge"/>
          <c:wMode val="edge"/>
          <c:hMode val="edge"/>
          <c:x val="0.4636216919585559"/>
          <c:y val="1.9464720194647202E-2"/>
          <c:w val="0.57698904388220507"/>
          <c:h val="7.7859136221111042E-2"/>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438150</xdr:colOff>
      <xdr:row>3</xdr:row>
      <xdr:rowOff>57150</xdr:rowOff>
    </xdr:from>
    <xdr:to>
      <xdr:col>27</xdr:col>
      <xdr:colOff>581025</xdr:colOff>
      <xdr:row>30</xdr:row>
      <xdr:rowOff>114300</xdr:rowOff>
    </xdr:to>
    <xdr:graphicFrame macro="">
      <xdr:nvGraphicFramePr>
        <xdr:cNvPr id="339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9"/>
  <sheetViews>
    <sheetView tabSelected="1" workbookViewId="0">
      <selection activeCell="G18" sqref="G18"/>
    </sheetView>
  </sheetViews>
  <sheetFormatPr defaultRowHeight="11.25" x14ac:dyDescent="0.2"/>
  <cols>
    <col min="1" max="1" width="12.42578125" style="1" bestFit="1" customWidth="1"/>
    <col min="2" max="2" width="12.7109375" style="1" bestFit="1" customWidth="1"/>
    <col min="3" max="3" width="10.42578125" style="1" bestFit="1" customWidth="1"/>
    <col min="4" max="4" width="7.140625" style="1" bestFit="1" customWidth="1"/>
    <col min="5" max="5" width="9" style="1" bestFit="1" customWidth="1"/>
    <col min="6" max="6" width="12.28515625" style="1" customWidth="1"/>
    <col min="7" max="7" width="12.7109375" style="1" bestFit="1" customWidth="1"/>
    <col min="8" max="8" width="10.42578125" style="1" bestFit="1" customWidth="1"/>
    <col min="9" max="9" width="7.140625" style="1" bestFit="1" customWidth="1"/>
    <col min="10" max="10" width="12.28515625" style="1" bestFit="1" customWidth="1"/>
    <col min="11" max="11" width="31.42578125" style="1" customWidth="1"/>
    <col min="12" max="12" width="9.42578125" style="1" bestFit="1" customWidth="1"/>
    <col min="13" max="13" width="10.7109375" style="1" bestFit="1" customWidth="1"/>
    <col min="14" max="16384" width="9.140625" style="1"/>
  </cols>
  <sheetData>
    <row r="1" spans="1:13" s="25" customFormat="1" ht="15" customHeight="1" x14ac:dyDescent="0.2">
      <c r="A1" s="22"/>
      <c r="B1" s="69" t="s">
        <v>13</v>
      </c>
      <c r="C1" s="66"/>
      <c r="D1" s="66"/>
      <c r="E1" s="66"/>
      <c r="F1" s="70"/>
      <c r="G1" s="66" t="s">
        <v>15</v>
      </c>
      <c r="H1" s="67"/>
      <c r="I1" s="67"/>
      <c r="J1" s="67"/>
      <c r="K1" s="68"/>
      <c r="L1" s="23"/>
      <c r="M1" s="24"/>
    </row>
    <row r="2" spans="1:13" s="25" customFormat="1" x14ac:dyDescent="0.2">
      <c r="A2" s="26" t="s">
        <v>16</v>
      </c>
      <c r="B2" s="63" t="s">
        <v>27</v>
      </c>
      <c r="C2" s="27" t="s">
        <v>8</v>
      </c>
      <c r="D2" s="27" t="s">
        <v>9</v>
      </c>
      <c r="E2" s="27" t="s">
        <v>49</v>
      </c>
      <c r="F2" s="28" t="s">
        <v>50</v>
      </c>
      <c r="G2" s="27" t="s">
        <v>28</v>
      </c>
      <c r="H2" s="27" t="s">
        <v>8</v>
      </c>
      <c r="I2" s="27" t="s">
        <v>9</v>
      </c>
      <c r="J2" s="27" t="s">
        <v>10</v>
      </c>
      <c r="K2" s="28" t="s">
        <v>14</v>
      </c>
      <c r="L2" s="27" t="s">
        <v>11</v>
      </c>
      <c r="M2" s="29" t="s">
        <v>12</v>
      </c>
    </row>
    <row r="3" spans="1:13" x14ac:dyDescent="0.2">
      <c r="A3" s="49" t="str">
        <f>_xll.qlStrikedTypePayoff(,$B3,$C3,$D3,$E3)</f>
        <v>obj_0008a#0002</v>
      </c>
      <c r="B3" s="64" t="s">
        <v>0</v>
      </c>
      <c r="C3" s="13" t="s">
        <v>7</v>
      </c>
      <c r="D3" s="14">
        <v>3.2</v>
      </c>
      <c r="E3" s="14"/>
      <c r="F3" s="15"/>
      <c r="G3" s="51" t="str">
        <f>_xll.qlPayoffName($A3)</f>
        <v>Vanilla</v>
      </c>
      <c r="H3" s="51" t="str">
        <f>_xll.qlPayoffOptionType(A3)</f>
        <v>Put</v>
      </c>
      <c r="I3" s="52">
        <f>_xll.qlPayoffStrike(A3)</f>
        <v>3.2</v>
      </c>
      <c r="J3" s="61">
        <f>_xll.qlPayoffThirdParameter(A3)</f>
        <v>0</v>
      </c>
      <c r="K3" s="53" t="str">
        <f>_xll.qlPayoffDescription($A3)</f>
        <v>Vanilla Put, 3.2 strike</v>
      </c>
      <c r="L3" s="14">
        <v>3</v>
      </c>
      <c r="M3" s="20">
        <f>_xll.qlPayoffValue(A3,L3)</f>
        <v>0.20000000000000018</v>
      </c>
    </row>
    <row r="4" spans="1:13" x14ac:dyDescent="0.2">
      <c r="A4" s="49" t="str">
        <f>_xll.qlStrikedTypePayoff(,$B4,$C4,$D4,$E4)</f>
        <v>obj_00089#0002</v>
      </c>
      <c r="B4" s="64" t="s">
        <v>4</v>
      </c>
      <c r="C4" s="13" t="s">
        <v>7</v>
      </c>
      <c r="D4" s="16">
        <v>1.1000000000000001</v>
      </c>
      <c r="E4" s="16"/>
      <c r="F4" s="15"/>
      <c r="G4" s="51" t="str">
        <f>_xll.qlPayoffName($A4)</f>
        <v>PercentageStrike</v>
      </c>
      <c r="H4" s="51" t="str">
        <f>_xll.qlPayoffOptionType(A4)</f>
        <v>Put</v>
      </c>
      <c r="I4" s="54">
        <f>_xll.qlPayoffStrike(A4)</f>
        <v>1.1000000000000001</v>
      </c>
      <c r="J4" s="61">
        <f>_xll.qlPayoffThirdParameter(A4)</f>
        <v>0</v>
      </c>
      <c r="K4" s="53" t="str">
        <f>_xll.qlPayoffDescription($A4)</f>
        <v>PercentageStrike Put, 1.1 strike</v>
      </c>
      <c r="L4" s="14">
        <v>4</v>
      </c>
      <c r="M4" s="20">
        <f>_xll.qlPayoffValue(A4,L4)</f>
        <v>0.40000000000000036</v>
      </c>
    </row>
    <row r="5" spans="1:13" x14ac:dyDescent="0.2">
      <c r="A5" s="49" t="str">
        <f>_xll.qlStrikedTypePayoff(,$B5,$C5,$D5,$E5)</f>
        <v>obj_00080#0002</v>
      </c>
      <c r="B5" s="64" t="s">
        <v>2</v>
      </c>
      <c r="C5" s="13" t="s">
        <v>3</v>
      </c>
      <c r="D5" s="14">
        <v>3.2</v>
      </c>
      <c r="E5" s="14"/>
      <c r="F5" s="15"/>
      <c r="G5" s="51" t="str">
        <f>_xll.qlPayoffName($A5)</f>
        <v>AssetOrNothing</v>
      </c>
      <c r="H5" s="51" t="str">
        <f>_xll.qlPayoffOptionType(A5)</f>
        <v>Call</v>
      </c>
      <c r="I5" s="52">
        <f>_xll.qlPayoffStrike(A5)</f>
        <v>3.2</v>
      </c>
      <c r="J5" s="61">
        <f>_xll.qlPayoffThirdParameter(A5)</f>
        <v>0</v>
      </c>
      <c r="K5" s="53" t="str">
        <f>_xll.qlPayoffDescription($A5)</f>
        <v>AssetOrNothing Call, 3.2 strike</v>
      </c>
      <c r="L5" s="14">
        <v>3</v>
      </c>
      <c r="M5" s="20">
        <f>_xll.qlPayoffValue(A5,L5)</f>
        <v>0</v>
      </c>
    </row>
    <row r="6" spans="1:13" x14ac:dyDescent="0.2">
      <c r="A6" s="49" t="str">
        <f>_xll.qlStrikedTypePayoff(,$B6,$C6,$D6,$F6)</f>
        <v>obj_00093#0002</v>
      </c>
      <c r="B6" s="64" t="s">
        <v>1</v>
      </c>
      <c r="C6" s="13" t="s">
        <v>7</v>
      </c>
      <c r="D6" s="14">
        <v>5</v>
      </c>
      <c r="E6" s="14"/>
      <c r="F6" s="15">
        <v>1.1000000000000001</v>
      </c>
      <c r="G6" s="51" t="str">
        <f>_xll.qlPayoffName($A6)</f>
        <v>CashOrNothing</v>
      </c>
      <c r="H6" s="51" t="str">
        <f>_xll.qlPayoffOptionType(A6)</f>
        <v>Put</v>
      </c>
      <c r="I6" s="52">
        <f>_xll.qlPayoffStrike(A6)</f>
        <v>5</v>
      </c>
      <c r="J6" s="61">
        <f>_xll.qlPayoffThirdParameter(A6)</f>
        <v>0</v>
      </c>
      <c r="K6" s="53" t="str">
        <f>_xll.qlPayoffDescription($A6)</f>
        <v>CashOrNothing Put, 5 strike, 1.1 cash payoff</v>
      </c>
      <c r="L6" s="14">
        <v>4</v>
      </c>
      <c r="M6" s="20">
        <f>_xll.qlPayoffValue(A6,L6)</f>
        <v>1.1000000000000001</v>
      </c>
    </row>
    <row r="7" spans="1:13" x14ac:dyDescent="0.2">
      <c r="A7" s="49" t="str">
        <f>_xll.qlStrikedTypePayoff(,$B7,$C7,$D7,$E7)</f>
        <v>obj_0009c#0002</v>
      </c>
      <c r="B7" s="64" t="s">
        <v>5</v>
      </c>
      <c r="C7" s="13" t="s">
        <v>7</v>
      </c>
      <c r="D7" s="14">
        <v>3.2</v>
      </c>
      <c r="E7" s="14">
        <v>1</v>
      </c>
      <c r="F7" s="15"/>
      <c r="G7" s="51" t="str">
        <f>_xll.qlPayoffName($A7)</f>
        <v>Gap</v>
      </c>
      <c r="H7" s="51" t="str">
        <f>_xll.qlPayoffOptionType(A7)</f>
        <v>Put</v>
      </c>
      <c r="I7" s="52">
        <f>_xll.qlPayoffStrike(A7)</f>
        <v>3.2</v>
      </c>
      <c r="J7" s="61">
        <f>_xll.qlPayoffThirdParameter(A7)</f>
        <v>0</v>
      </c>
      <c r="K7" s="53" t="str">
        <f>_xll.qlPayoffDescription($A7)</f>
        <v>Gap Put, 3.2 strike, 1 strike payoff</v>
      </c>
      <c r="L7" s="14">
        <v>3</v>
      </c>
      <c r="M7" s="20">
        <f>_xll.qlPayoffValue(A7,L7)</f>
        <v>-2</v>
      </c>
    </row>
    <row r="8" spans="1:13" x14ac:dyDescent="0.2">
      <c r="A8" s="49" t="str">
        <f>_xll.qlStrikedTypePayoff(,$B8,$C8,$D8,$E8)</f>
        <v>obj_000a7#0002</v>
      </c>
      <c r="B8" s="1" t="s">
        <v>51</v>
      </c>
      <c r="C8" s="13" t="s">
        <v>3</v>
      </c>
      <c r="D8" s="14">
        <v>3.2</v>
      </c>
      <c r="E8" s="14">
        <v>5</v>
      </c>
      <c r="F8" s="15"/>
      <c r="G8" s="51" t="str">
        <f>_xll.qlPayoffName($A8)</f>
        <v>SuperFund</v>
      </c>
      <c r="H8" s="51" t="str">
        <f>_xll.qlPayoffOptionType(A8)</f>
        <v>Call</v>
      </c>
      <c r="I8" s="52">
        <f>_xll.qlPayoffStrike(A8)</f>
        <v>3.2</v>
      </c>
      <c r="J8" s="61">
        <f>_xll.qlPayoffThirdParameter(A8)</f>
        <v>0</v>
      </c>
      <c r="K8" s="53" t="str">
        <f>_xll.qlPayoffDescription($A8)</f>
        <v>SuperFund Call, 3.2 strike</v>
      </c>
      <c r="L8" s="14">
        <v>4</v>
      </c>
      <c r="M8" s="20">
        <f>_xll.qlPayoffValue(A8,L8)</f>
        <v>1.25</v>
      </c>
    </row>
    <row r="9" spans="1:13" ht="12" thickBot="1" x14ac:dyDescent="0.25">
      <c r="A9" s="50" t="str">
        <f>_xll.qlStrikedTypePayoff(,$B9,$C9,$D9,$E9,$F9)</f>
        <v>obj_00079#0002</v>
      </c>
      <c r="B9" s="65" t="s">
        <v>6</v>
      </c>
      <c r="C9" s="17" t="s">
        <v>7</v>
      </c>
      <c r="D9" s="18">
        <v>3.2</v>
      </c>
      <c r="E9" s="18">
        <v>5</v>
      </c>
      <c r="F9" s="19">
        <v>2</v>
      </c>
      <c r="G9" s="55" t="str">
        <f>_xll.qlPayoffName($A9)</f>
        <v>SuperShare</v>
      </c>
      <c r="H9" s="55" t="str">
        <f>_xll.qlPayoffOptionType(A9)</f>
        <v>Call</v>
      </c>
      <c r="I9" s="56">
        <f>_xll.qlPayoffStrike(A9)</f>
        <v>3.2</v>
      </c>
      <c r="J9" s="62">
        <f>_xll.qlPayoffThirdParameter(A9)</f>
        <v>0</v>
      </c>
      <c r="K9" s="57" t="str">
        <f>_xll.qlPayoffDescription($A9)</f>
        <v>SuperShare Call, 3.2 strike, 5 second strike, 1.24861e-050 amount</v>
      </c>
      <c r="L9" s="18">
        <v>1</v>
      </c>
      <c r="M9" s="21">
        <f>_xll.qlPayoffValue(A9,L9)</f>
        <v>0</v>
      </c>
    </row>
  </sheetData>
  <mergeCells count="2">
    <mergeCell ref="G1:K1"/>
    <mergeCell ref="B1:F1"/>
  </mergeCells>
  <phoneticPr fontId="2" type="noConversion"/>
  <dataValidations count="2">
    <dataValidation type="list" allowBlank="1" showInputMessage="1" showErrorMessage="1" sqref="C3:C9">
      <formula1>"Call,Put"</formula1>
    </dataValidation>
    <dataValidation type="list" allowBlank="1" showInputMessage="1" showErrorMessage="1" sqref="D16 B3:B8 B9">
      <formula1>"Vanilla, PercentageStrike, AssetOrNothing, CashOrNothing, Gap, SuperShare, SuperFund"</formula1>
    </dataValidation>
  </dataValidations>
  <pageMargins left="0.75" right="0.75" top="1" bottom="1" header="0.5" footer="0.5"/>
  <pageSetup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39"/>
  <sheetViews>
    <sheetView workbookViewId="0">
      <selection activeCell="D8" sqref="D8"/>
    </sheetView>
  </sheetViews>
  <sheetFormatPr defaultRowHeight="11.25" x14ac:dyDescent="0.2"/>
  <cols>
    <col min="1" max="1" width="14.85546875" style="1" bestFit="1" customWidth="1"/>
    <col min="2" max="2" width="26.140625" style="1" customWidth="1"/>
    <col min="3" max="4" width="14.140625" style="1" customWidth="1"/>
    <col min="5" max="5" width="10.140625" style="1" bestFit="1" customWidth="1"/>
    <col min="6" max="6" width="13.28515625" style="1" bestFit="1" customWidth="1"/>
    <col min="7" max="7" width="5.7109375" style="1" bestFit="1" customWidth="1"/>
    <col min="8" max="8" width="12.28515625" style="1" bestFit="1" customWidth="1"/>
    <col min="9" max="13" width="9.140625" style="30"/>
    <col min="14" max="16384" width="9.140625" style="1"/>
  </cols>
  <sheetData>
    <row r="1" spans="1:8" ht="12" thickBot="1" x14ac:dyDescent="0.25">
      <c r="A1" s="37" t="s">
        <v>17</v>
      </c>
      <c r="B1" s="46" t="str">
        <f>_xll.qlStrikedTypePayoff(,E2,F2,G2,H2)</f>
        <v>obj_00081#0002</v>
      </c>
      <c r="C1" s="30"/>
      <c r="D1" s="30"/>
      <c r="E1" s="33" t="s">
        <v>27</v>
      </c>
      <c r="F1" s="34" t="s">
        <v>8</v>
      </c>
      <c r="G1" s="34" t="s">
        <v>9</v>
      </c>
      <c r="H1" s="35" t="s">
        <v>10</v>
      </c>
    </row>
    <row r="2" spans="1:8" ht="12" thickBot="1" x14ac:dyDescent="0.25">
      <c r="A2" s="38" t="s">
        <v>18</v>
      </c>
      <c r="B2" s="3">
        <v>100</v>
      </c>
      <c r="C2" s="30"/>
      <c r="D2" s="30"/>
      <c r="E2" s="31" t="s">
        <v>0</v>
      </c>
      <c r="F2" s="17" t="s">
        <v>3</v>
      </c>
      <c r="G2" s="18">
        <v>100</v>
      </c>
      <c r="H2" s="32">
        <v>102</v>
      </c>
    </row>
    <row r="3" spans="1:8" x14ac:dyDescent="0.2">
      <c r="A3" s="38" t="s">
        <v>40</v>
      </c>
      <c r="B3" s="41">
        <f>F5*SQRT(B13)</f>
        <v>0.12</v>
      </c>
      <c r="C3" s="30"/>
      <c r="D3" s="30"/>
      <c r="E3" s="30"/>
      <c r="F3" s="30"/>
      <c r="G3" s="30"/>
      <c r="H3" s="30"/>
    </row>
    <row r="4" spans="1:8" x14ac:dyDescent="0.2">
      <c r="A4" s="39" t="s">
        <v>19</v>
      </c>
      <c r="B4" s="5">
        <v>0.85</v>
      </c>
      <c r="C4" s="30"/>
      <c r="D4" s="30"/>
      <c r="E4" s="30"/>
      <c r="F4" s="6" t="s">
        <v>39</v>
      </c>
      <c r="G4" s="30"/>
      <c r="H4" s="30"/>
    </row>
    <row r="5" spans="1:8" x14ac:dyDescent="0.2">
      <c r="A5" s="38"/>
      <c r="B5" s="42" t="str">
        <f>_xll.qlBlackCalculator2(A5,B1,B2,B3,B4)</f>
        <v>obj_00082#0002</v>
      </c>
      <c r="C5" s="30"/>
      <c r="D5" s="30"/>
      <c r="E5" s="30"/>
      <c r="F5" s="7">
        <v>0.12</v>
      </c>
      <c r="G5" s="30"/>
      <c r="H5" s="30"/>
    </row>
    <row r="6" spans="1:8" x14ac:dyDescent="0.2">
      <c r="A6" s="38" t="s">
        <v>20</v>
      </c>
      <c r="B6" s="43">
        <f>_xll.qlBlackCalculatorValue($B$5)</f>
        <v>4.0667710511981614</v>
      </c>
      <c r="C6" s="30"/>
      <c r="D6" s="30"/>
      <c r="E6" s="30"/>
      <c r="G6" s="30"/>
      <c r="H6" s="30"/>
    </row>
    <row r="7" spans="1:8" x14ac:dyDescent="0.2">
      <c r="A7" s="38" t="s">
        <v>22</v>
      </c>
      <c r="B7" s="43">
        <f>_xll.qlBlackCalculatorDeltaForward($B$5)</f>
        <v>0.44533385525599073</v>
      </c>
      <c r="C7" s="30"/>
      <c r="D7" s="30"/>
      <c r="E7" s="30"/>
      <c r="F7" s="36" t="s">
        <v>41</v>
      </c>
      <c r="G7" s="30"/>
      <c r="H7" s="30"/>
    </row>
    <row r="8" spans="1:8" x14ac:dyDescent="0.2">
      <c r="A8" s="38" t="s">
        <v>23</v>
      </c>
      <c r="B8" s="43">
        <f>_xll.qlBlackCalculatorElasticityForward($B$5)</f>
        <v>10.95055142395551</v>
      </c>
      <c r="C8" s="30"/>
      <c r="D8" s="30"/>
      <c r="E8" s="30"/>
      <c r="F8" s="40">
        <f>_xll.qlBlackFormulaImpliedStdDev(F2,G2,B2,B6,B4)</f>
        <v>0.11999999999999986</v>
      </c>
      <c r="G8" s="30"/>
      <c r="H8" s="30"/>
    </row>
    <row r="9" spans="1:8" x14ac:dyDescent="0.2">
      <c r="A9" s="38" t="s">
        <v>24</v>
      </c>
      <c r="B9" s="43">
        <f>_xll.qlBlackCalculatorGammaForward($B$5)</f>
        <v>2.8207592138855486E-2</v>
      </c>
      <c r="C9" s="30"/>
      <c r="D9" s="30"/>
      <c r="E9" s="30"/>
      <c r="F9" s="30"/>
      <c r="G9" s="30"/>
      <c r="H9" s="30"/>
    </row>
    <row r="10" spans="1:8" x14ac:dyDescent="0.2">
      <c r="A10" s="38" t="s">
        <v>25</v>
      </c>
      <c r="B10" s="43">
        <f>_xll.qlBlackCalculatorItmCashProbability($B$5)</f>
        <v>0.47607781734589316</v>
      </c>
      <c r="C10" s="30"/>
      <c r="D10" s="30"/>
      <c r="E10" s="30"/>
      <c r="F10" s="30"/>
      <c r="G10" s="30"/>
      <c r="H10" s="30"/>
    </row>
    <row r="11" spans="1:8" x14ac:dyDescent="0.2">
      <c r="A11" s="38" t="s">
        <v>29</v>
      </c>
      <c r="B11" s="43">
        <f>_xll.qlBlackCalculatorItmAssetProbability($B$5)</f>
        <v>0.52392218265410684</v>
      </c>
      <c r="C11" s="30"/>
      <c r="D11" s="30"/>
      <c r="E11" s="30"/>
      <c r="F11" s="30"/>
      <c r="G11" s="30"/>
      <c r="H11" s="30"/>
    </row>
    <row r="12" spans="1:8" x14ac:dyDescent="0.2">
      <c r="A12" s="39" t="s">
        <v>26</v>
      </c>
      <c r="B12" s="44">
        <f>_xll.qlBlackCalculatorStrikeSensitivity($B$5)</f>
        <v>-0.40466614474400919</v>
      </c>
      <c r="C12" s="30"/>
      <c r="D12" s="30"/>
      <c r="E12" s="30"/>
      <c r="F12" s="30"/>
      <c r="G12" s="30"/>
      <c r="H12" s="30"/>
    </row>
    <row r="13" spans="1:8" x14ac:dyDescent="0.2">
      <c r="A13" s="38" t="s">
        <v>33</v>
      </c>
      <c r="B13" s="4">
        <v>1</v>
      </c>
      <c r="C13" s="30"/>
      <c r="D13" s="30"/>
      <c r="E13" s="30"/>
      <c r="F13" s="30"/>
      <c r="G13" s="30"/>
      <c r="H13" s="30"/>
    </row>
    <row r="14" spans="1:8" x14ac:dyDescent="0.2">
      <c r="A14" s="38" t="s">
        <v>30</v>
      </c>
      <c r="B14" s="43">
        <f>_xll.qlBlackCalculatorVega($B$5,$B$13)</f>
        <v>33.849110566626585</v>
      </c>
      <c r="C14" s="30"/>
      <c r="D14" s="30"/>
      <c r="E14" s="30"/>
      <c r="F14" s="30"/>
      <c r="G14" s="30"/>
      <c r="H14" s="30"/>
    </row>
    <row r="15" spans="1:8" x14ac:dyDescent="0.2">
      <c r="A15" s="38" t="s">
        <v>31</v>
      </c>
      <c r="B15" s="43">
        <f>_xll.qlBlackCalculatorRho($B$5,$B$13)</f>
        <v>40.466614474400927</v>
      </c>
      <c r="C15" s="30"/>
      <c r="D15" s="30"/>
      <c r="E15" s="30"/>
      <c r="F15" s="30"/>
      <c r="G15" s="30"/>
      <c r="H15" s="30"/>
    </row>
    <row r="16" spans="1:8" x14ac:dyDescent="0.2">
      <c r="A16" s="39" t="s">
        <v>32</v>
      </c>
      <c r="B16" s="44">
        <f>_xll.qlBlackCalculatorDividendRho($B$5,$B$13)</f>
        <v>-44.533385525599087</v>
      </c>
      <c r="C16" s="30"/>
      <c r="D16" s="30"/>
      <c r="E16" s="30"/>
      <c r="F16" s="30"/>
      <c r="G16" s="30"/>
      <c r="H16" s="30"/>
    </row>
    <row r="17" spans="1:8" x14ac:dyDescent="0.2">
      <c r="A17" s="38" t="s">
        <v>34</v>
      </c>
      <c r="B17" s="3">
        <v>101</v>
      </c>
      <c r="C17" s="30"/>
      <c r="D17" s="30"/>
      <c r="E17" s="30"/>
      <c r="F17" s="30"/>
      <c r="G17" s="30"/>
      <c r="H17" s="30"/>
    </row>
    <row r="18" spans="1:8" x14ac:dyDescent="0.2">
      <c r="A18" s="38" t="s">
        <v>21</v>
      </c>
      <c r="B18" s="43">
        <f>_xll.qlBlackCalculatorDelta($B$5,SpotValue)</f>
        <v>0.44092460916434745</v>
      </c>
      <c r="C18" s="30"/>
      <c r="D18" s="30"/>
      <c r="E18" s="30"/>
      <c r="F18" s="30"/>
      <c r="G18" s="30"/>
      <c r="H18" s="30"/>
    </row>
    <row r="19" spans="1:8" x14ac:dyDescent="0.2">
      <c r="A19" s="38" t="s">
        <v>35</v>
      </c>
      <c r="B19" s="43">
        <f>_xll.qlBlackCalculatorElasticity($B$5,SpotValue)</f>
        <v>10.950551423955515</v>
      </c>
      <c r="C19" s="30"/>
      <c r="D19" s="30"/>
      <c r="E19" s="30"/>
      <c r="F19" s="30"/>
      <c r="G19" s="30"/>
      <c r="H19" s="30"/>
    </row>
    <row r="20" spans="1:8" x14ac:dyDescent="0.2">
      <c r="A20" s="38" t="s">
        <v>36</v>
      </c>
      <c r="B20" s="43">
        <f>_xll.qlBlackCalculatorGamma($B$5,SpotValue)</f>
        <v>2.7651791137001749E-2</v>
      </c>
      <c r="C20" s="30"/>
      <c r="D20" s="30"/>
      <c r="E20" s="30"/>
      <c r="F20" s="30"/>
      <c r="G20" s="30"/>
      <c r="H20" s="30"/>
    </row>
    <row r="21" spans="1:8" x14ac:dyDescent="0.2">
      <c r="A21" s="38" t="s">
        <v>37</v>
      </c>
      <c r="B21" s="43">
        <f>_xll.qlBlackCalculatorTheta($B$5,SpotValue,$B$13)</f>
        <v>-0.92689743625293053</v>
      </c>
      <c r="C21" s="30"/>
      <c r="D21" s="30"/>
      <c r="E21" s="30"/>
      <c r="F21" s="30"/>
      <c r="G21" s="30"/>
      <c r="H21" s="30"/>
    </row>
    <row r="22" spans="1:8" ht="12" thickBot="1" x14ac:dyDescent="0.25">
      <c r="A22" s="37" t="s">
        <v>38</v>
      </c>
      <c r="B22" s="45">
        <f>_xll.qlBlackCalculatorThetaPerDay($B$5,SpotValue,SpotValue)</f>
        <v>-2.5143020107227196E-5</v>
      </c>
      <c r="C22" s="30"/>
      <c r="D22" s="30"/>
      <c r="E22" s="30"/>
      <c r="F22" s="30"/>
      <c r="G22" s="30"/>
      <c r="H22" s="30"/>
    </row>
    <row r="23" spans="1:8" x14ac:dyDescent="0.2">
      <c r="A23" s="30"/>
      <c r="B23" s="30"/>
      <c r="C23" s="30"/>
      <c r="D23" s="30"/>
      <c r="E23" s="30"/>
      <c r="F23" s="30"/>
      <c r="G23" s="30"/>
      <c r="H23" s="30"/>
    </row>
    <row r="24" spans="1:8" x14ac:dyDescent="0.2">
      <c r="A24" s="30"/>
      <c r="B24" s="30"/>
      <c r="C24" s="30"/>
      <c r="D24" s="30"/>
      <c r="E24" s="30"/>
      <c r="F24" s="30"/>
      <c r="G24" s="30"/>
      <c r="H24" s="30"/>
    </row>
    <row r="25" spans="1:8" x14ac:dyDescent="0.2">
      <c r="A25" s="30"/>
      <c r="B25" s="30"/>
      <c r="C25" s="30"/>
      <c r="D25" s="30"/>
      <c r="E25" s="30"/>
      <c r="F25" s="30"/>
      <c r="G25" s="30"/>
      <c r="H25" s="30"/>
    </row>
    <row r="26" spans="1:8" x14ac:dyDescent="0.2">
      <c r="A26" s="30"/>
      <c r="B26" s="30"/>
      <c r="C26" s="30"/>
      <c r="D26" s="30"/>
      <c r="E26" s="30"/>
      <c r="F26" s="30"/>
      <c r="G26" s="30"/>
      <c r="H26" s="30"/>
    </row>
    <row r="27" spans="1:8" x14ac:dyDescent="0.2">
      <c r="A27" s="30"/>
      <c r="B27" s="30"/>
      <c r="C27" s="30"/>
      <c r="D27" s="30"/>
      <c r="E27" s="30"/>
      <c r="F27" s="30"/>
      <c r="G27" s="30"/>
      <c r="H27" s="30"/>
    </row>
    <row r="28" spans="1:8" x14ac:dyDescent="0.2">
      <c r="A28" s="30"/>
      <c r="B28" s="30"/>
      <c r="C28" s="30"/>
      <c r="D28" s="30"/>
      <c r="E28" s="30"/>
      <c r="F28" s="30"/>
      <c r="G28" s="30"/>
      <c r="H28" s="30"/>
    </row>
    <row r="29" spans="1:8" x14ac:dyDescent="0.2">
      <c r="A29" s="30"/>
      <c r="B29" s="30"/>
      <c r="C29" s="30"/>
      <c r="D29" s="30"/>
      <c r="E29" s="30"/>
      <c r="F29" s="30"/>
      <c r="G29" s="30"/>
      <c r="H29" s="30"/>
    </row>
    <row r="30" spans="1:8" x14ac:dyDescent="0.2">
      <c r="A30" s="30"/>
      <c r="B30" s="30"/>
      <c r="C30" s="30"/>
      <c r="D30" s="30"/>
      <c r="E30" s="30"/>
      <c r="F30" s="30"/>
      <c r="G30" s="30"/>
      <c r="H30" s="30"/>
    </row>
    <row r="31" spans="1:8" x14ac:dyDescent="0.2">
      <c r="A31" s="30"/>
      <c r="B31" s="30"/>
      <c r="C31" s="30"/>
      <c r="D31" s="30"/>
      <c r="E31" s="30"/>
      <c r="F31" s="30"/>
      <c r="G31" s="30"/>
      <c r="H31" s="30"/>
    </row>
    <row r="32" spans="1:8" x14ac:dyDescent="0.2">
      <c r="A32" s="30"/>
      <c r="B32" s="30"/>
      <c r="C32" s="30"/>
      <c r="D32" s="30"/>
      <c r="E32" s="30"/>
      <c r="F32" s="30"/>
      <c r="G32" s="30"/>
      <c r="H32" s="30"/>
    </row>
    <row r="33" spans="1:8" x14ac:dyDescent="0.2">
      <c r="A33" s="30"/>
      <c r="B33" s="30"/>
      <c r="C33" s="30"/>
      <c r="D33" s="30"/>
      <c r="E33" s="30"/>
      <c r="F33" s="30"/>
      <c r="G33" s="30"/>
      <c r="H33" s="30"/>
    </row>
    <row r="34" spans="1:8" x14ac:dyDescent="0.2">
      <c r="A34" s="30"/>
      <c r="B34" s="30"/>
      <c r="C34" s="30"/>
      <c r="D34" s="30"/>
      <c r="E34" s="30"/>
      <c r="F34" s="30"/>
      <c r="G34" s="30"/>
      <c r="H34" s="30"/>
    </row>
    <row r="35" spans="1:8" x14ac:dyDescent="0.2">
      <c r="A35" s="30"/>
      <c r="B35" s="30"/>
      <c r="C35" s="30"/>
      <c r="D35" s="30"/>
      <c r="E35" s="30"/>
      <c r="F35" s="30"/>
      <c r="G35" s="30"/>
      <c r="H35" s="30"/>
    </row>
    <row r="36" spans="1:8" x14ac:dyDescent="0.2">
      <c r="A36" s="30"/>
      <c r="B36" s="30"/>
      <c r="C36" s="30"/>
      <c r="D36" s="30"/>
      <c r="E36" s="30"/>
      <c r="F36" s="30"/>
      <c r="G36" s="30"/>
      <c r="H36" s="30"/>
    </row>
    <row r="37" spans="1:8" x14ac:dyDescent="0.2">
      <c r="A37" s="30"/>
      <c r="B37" s="30"/>
      <c r="C37" s="30"/>
      <c r="D37" s="30"/>
      <c r="E37" s="30"/>
      <c r="F37" s="30"/>
      <c r="G37" s="30"/>
      <c r="H37" s="30"/>
    </row>
    <row r="38" spans="1:8" x14ac:dyDescent="0.2">
      <c r="A38" s="30"/>
      <c r="B38" s="30"/>
      <c r="C38" s="30"/>
      <c r="D38" s="30"/>
      <c r="E38" s="30"/>
      <c r="F38" s="30"/>
      <c r="G38" s="30"/>
      <c r="H38" s="30"/>
    </row>
    <row r="39" spans="1:8" x14ac:dyDescent="0.2">
      <c r="A39" s="30"/>
      <c r="B39" s="30"/>
      <c r="C39" s="30"/>
      <c r="D39" s="30"/>
      <c r="E39" s="30"/>
      <c r="F39" s="30"/>
      <c r="G39" s="30"/>
      <c r="H39" s="30"/>
    </row>
  </sheetData>
  <phoneticPr fontId="2" type="noConversion"/>
  <dataValidations count="2">
    <dataValidation type="list" allowBlank="1" showInputMessage="1" showErrorMessage="1" sqref="E2">
      <formula1>"Vanilla, PercentageStrike, AssetOrNothing, CashOrNothing, Gap, SuperShare"</formula1>
    </dataValidation>
    <dataValidation type="list" allowBlank="1" showInputMessage="1" showErrorMessage="1" sqref="F2">
      <formula1>"Call,Put"</formula1>
    </dataValidation>
  </dataValidations>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9"/>
  <sheetViews>
    <sheetView workbookViewId="0">
      <selection activeCell="B1" sqref="B1"/>
    </sheetView>
  </sheetViews>
  <sheetFormatPr defaultRowHeight="12.75" x14ac:dyDescent="0.2"/>
  <cols>
    <col min="1" max="1" width="17" bestFit="1" customWidth="1"/>
    <col min="2" max="2" width="12.42578125" bestFit="1" customWidth="1"/>
    <col min="3" max="4" width="12.42578125" style="47" customWidth="1"/>
    <col min="5" max="5" width="12.7109375" bestFit="1" customWidth="1"/>
    <col min="6" max="6" width="11.140625" bestFit="1" customWidth="1"/>
    <col min="7" max="7" width="5.7109375" bestFit="1" customWidth="1"/>
    <col min="8" max="8" width="12.28515625" bestFit="1" customWidth="1"/>
  </cols>
  <sheetData>
    <row r="1" spans="1:15" ht="13.5" thickBot="1" x14ac:dyDescent="0.25">
      <c r="A1" s="37" t="s">
        <v>17</v>
      </c>
      <c r="B1" s="46" t="str">
        <f>_xll.qlStrikedTypePayoff(,E2,F2,G2,H2)</f>
        <v>obj_0008b#0002</v>
      </c>
      <c r="C1" s="14"/>
      <c r="D1" s="14"/>
      <c r="E1" s="33" t="s">
        <v>27</v>
      </c>
      <c r="F1" s="34" t="s">
        <v>8</v>
      </c>
      <c r="G1" s="34" t="s">
        <v>9</v>
      </c>
      <c r="H1" s="35" t="s">
        <v>10</v>
      </c>
      <c r="I1" s="47"/>
      <c r="J1" s="47"/>
      <c r="K1" s="47"/>
      <c r="L1" s="47"/>
      <c r="M1" s="47"/>
      <c r="N1" s="47"/>
      <c r="O1" s="47"/>
    </row>
    <row r="2" spans="1:15" ht="13.5" thickBot="1" x14ac:dyDescent="0.25">
      <c r="A2" s="38" t="s">
        <v>34</v>
      </c>
      <c r="B2" s="3">
        <v>104</v>
      </c>
      <c r="C2" s="14"/>
      <c r="D2" s="14"/>
      <c r="E2" s="31" t="s">
        <v>0</v>
      </c>
      <c r="F2" s="17" t="s">
        <v>3</v>
      </c>
      <c r="G2" s="18">
        <v>100</v>
      </c>
      <c r="H2" s="32">
        <v>102</v>
      </c>
      <c r="I2" s="47"/>
      <c r="J2" s="47"/>
      <c r="K2" s="47"/>
      <c r="L2" s="47"/>
      <c r="M2" s="47"/>
    </row>
    <row r="3" spans="1:15" x14ac:dyDescent="0.2">
      <c r="A3" s="38" t="s">
        <v>42</v>
      </c>
      <c r="B3" s="41">
        <v>0.85</v>
      </c>
      <c r="C3" s="14"/>
      <c r="D3" s="14"/>
      <c r="E3" s="47"/>
      <c r="F3" s="47"/>
      <c r="G3" s="47"/>
      <c r="H3" s="47"/>
      <c r="I3" s="47"/>
      <c r="J3" s="47"/>
      <c r="K3" s="47"/>
      <c r="L3" s="47"/>
      <c r="M3" s="47"/>
    </row>
    <row r="4" spans="1:15" x14ac:dyDescent="0.2">
      <c r="A4" s="39" t="s">
        <v>40</v>
      </c>
      <c r="B4" s="5">
        <f>$F$5*SQRT(B17)</f>
        <v>0.1</v>
      </c>
      <c r="C4" s="48"/>
      <c r="D4" s="14"/>
      <c r="E4" s="47"/>
      <c r="F4" s="6" t="s">
        <v>39</v>
      </c>
      <c r="G4" s="47"/>
      <c r="H4" s="47"/>
      <c r="I4" s="47"/>
      <c r="J4" s="47"/>
      <c r="K4" s="47"/>
      <c r="L4" s="47"/>
      <c r="M4" s="47"/>
    </row>
    <row r="5" spans="1:15" x14ac:dyDescent="0.2">
      <c r="A5" s="38" t="s">
        <v>19</v>
      </c>
      <c r="B5" s="42">
        <v>0.85</v>
      </c>
      <c r="C5" s="14"/>
      <c r="D5" s="48"/>
      <c r="E5" s="47"/>
      <c r="F5" s="7">
        <v>0.1</v>
      </c>
      <c r="G5" s="47"/>
      <c r="H5" s="47"/>
      <c r="I5" s="47"/>
      <c r="J5" s="47"/>
      <c r="K5" s="47"/>
      <c r="L5" s="47"/>
      <c r="M5" s="47"/>
    </row>
    <row r="6" spans="1:15" x14ac:dyDescent="0.2">
      <c r="A6" s="38"/>
      <c r="B6" s="43" t="str">
        <f>_xll.qlBlackScholesCalculator2(A6,B1,B2,B3,B4,B5)</f>
        <v>obj_0008c#0002</v>
      </c>
      <c r="C6" s="13"/>
      <c r="D6" s="14"/>
      <c r="E6" s="47"/>
      <c r="F6" s="1"/>
      <c r="G6" s="47"/>
      <c r="H6" s="47"/>
      <c r="I6" s="47"/>
      <c r="J6" s="47"/>
      <c r="K6" s="47"/>
      <c r="L6" s="47"/>
      <c r="M6" s="47"/>
    </row>
    <row r="7" spans="1:15" x14ac:dyDescent="0.2">
      <c r="A7" s="38" t="s">
        <v>20</v>
      </c>
      <c r="B7" s="43">
        <f>_xll.qlBlackCalculatorValue($B$6)</f>
        <v>5.4196900876274476</v>
      </c>
      <c r="C7" s="14"/>
      <c r="D7" s="13"/>
      <c r="E7" s="47"/>
      <c r="F7" s="6" t="s">
        <v>41</v>
      </c>
      <c r="G7" s="47"/>
      <c r="H7" s="47"/>
      <c r="I7" s="47"/>
      <c r="J7" s="47"/>
      <c r="K7" s="47"/>
      <c r="L7" s="47"/>
      <c r="M7" s="47"/>
    </row>
    <row r="8" spans="1:15" x14ac:dyDescent="0.2">
      <c r="A8" s="38" t="s">
        <v>21</v>
      </c>
      <c r="B8" s="43">
        <f>_xll.qlBlackScholesCalculatorDelta($B$6)</f>
        <v>0.57020578647502429</v>
      </c>
      <c r="C8" s="14"/>
      <c r="D8" s="14"/>
      <c r="E8" s="47"/>
      <c r="F8" s="7">
        <f>_xll.qlBlackFormulaImpliedStdDev(F2,G2,B2*B3/B5,B7,B5)</f>
        <v>0.10000022912571253</v>
      </c>
      <c r="G8" s="47"/>
      <c r="H8" s="47"/>
      <c r="I8" s="47"/>
      <c r="J8" s="47"/>
      <c r="K8" s="47"/>
      <c r="L8" s="47"/>
      <c r="M8" s="47"/>
    </row>
    <row r="9" spans="1:15" x14ac:dyDescent="0.2">
      <c r="A9" s="38" t="s">
        <v>22</v>
      </c>
      <c r="B9" s="43">
        <f>_xll.qlBlackCalculatorDeltaForward($B$6)</f>
        <v>0.57020578647502473</v>
      </c>
      <c r="C9" s="14"/>
      <c r="D9" s="14"/>
      <c r="E9" s="47"/>
      <c r="F9" s="47"/>
      <c r="G9" s="47"/>
      <c r="H9" s="47"/>
      <c r="I9" s="47"/>
      <c r="J9" s="47"/>
      <c r="K9" s="47"/>
      <c r="L9" s="47"/>
      <c r="M9" s="47"/>
    </row>
    <row r="10" spans="1:15" x14ac:dyDescent="0.2">
      <c r="A10" s="38" t="s">
        <v>35</v>
      </c>
      <c r="B10" s="43">
        <f>_xll.qlBlackScholesCalculatorElasticity($B$6)</f>
        <v>10.941843691169916</v>
      </c>
      <c r="C10" s="14"/>
      <c r="D10" s="14"/>
      <c r="E10" s="47"/>
      <c r="F10" s="47"/>
      <c r="G10" s="47"/>
      <c r="H10" s="47"/>
      <c r="I10" s="47"/>
      <c r="J10" s="47"/>
      <c r="K10" s="47"/>
      <c r="L10" s="47"/>
      <c r="M10" s="47"/>
    </row>
    <row r="11" spans="1:15" x14ac:dyDescent="0.2">
      <c r="A11" s="38" t="s">
        <v>23</v>
      </c>
      <c r="B11" s="43">
        <f>_xll.qlBlackCalculatorElasticityForward($B$6)</f>
        <v>10.941843691169924</v>
      </c>
      <c r="C11" s="14"/>
      <c r="D11" s="14"/>
      <c r="E11" s="47"/>
      <c r="F11" s="47"/>
      <c r="G11" s="47"/>
      <c r="H11" s="47"/>
      <c r="I11" s="47"/>
      <c r="J11" s="47"/>
      <c r="K11" s="47"/>
      <c r="L11" s="47"/>
      <c r="M11" s="47"/>
    </row>
    <row r="12" spans="1:15" x14ac:dyDescent="0.2">
      <c r="A12" s="39" t="s">
        <v>36</v>
      </c>
      <c r="B12" s="44">
        <f>_xll.qlBlackScholesCalculatorGamma($B$6)</f>
        <v>2.9568761122163272E-2</v>
      </c>
      <c r="C12" s="14"/>
      <c r="D12" s="14"/>
      <c r="E12" s="47"/>
      <c r="F12" s="47"/>
      <c r="G12" s="47"/>
      <c r="H12" s="47"/>
      <c r="I12" s="47"/>
      <c r="J12" s="47"/>
      <c r="K12" s="47"/>
      <c r="L12" s="47"/>
      <c r="M12" s="47"/>
    </row>
    <row r="13" spans="1:15" x14ac:dyDescent="0.2">
      <c r="A13" s="38" t="s">
        <v>24</v>
      </c>
      <c r="B13" s="4">
        <f>_xll.qlBlackCalculatorGammaForward($B$6)</f>
        <v>2.9568761122163296E-2</v>
      </c>
      <c r="C13" s="14"/>
      <c r="D13" s="14"/>
      <c r="E13" s="47"/>
      <c r="F13" s="47"/>
      <c r="G13" s="47"/>
      <c r="H13" s="47"/>
      <c r="I13" s="47"/>
      <c r="J13" s="47"/>
      <c r="K13" s="47"/>
      <c r="L13" s="47"/>
      <c r="M13" s="47"/>
    </row>
    <row r="14" spans="1:15" x14ac:dyDescent="0.2">
      <c r="A14" s="38" t="s">
        <v>25</v>
      </c>
      <c r="B14" s="43">
        <f>_xll.qlBlackCalculatorItmCashProbability($B$6)</f>
        <v>0.63390249065617721</v>
      </c>
      <c r="C14" s="14"/>
      <c r="D14" s="14"/>
      <c r="E14" s="47"/>
      <c r="F14" s="47"/>
      <c r="G14" s="47"/>
      <c r="H14" s="47"/>
      <c r="I14" s="47"/>
      <c r="J14" s="47"/>
      <c r="K14" s="47"/>
      <c r="L14" s="47"/>
      <c r="M14" s="47"/>
    </row>
    <row r="15" spans="1:15" x14ac:dyDescent="0.2">
      <c r="A15" s="38" t="s">
        <v>29</v>
      </c>
      <c r="B15" s="43">
        <f>_xll.qlBlackCalculatorItmAssetProbability($B$6)</f>
        <v>0.67083033702944028</v>
      </c>
      <c r="C15" s="14"/>
      <c r="D15" s="14"/>
      <c r="E15" s="47"/>
      <c r="F15" s="47"/>
      <c r="G15" s="47"/>
      <c r="H15" s="47"/>
      <c r="I15" s="47"/>
      <c r="J15" s="47"/>
      <c r="K15" s="47"/>
      <c r="L15" s="47"/>
      <c r="M15" s="47"/>
    </row>
    <row r="16" spans="1:15" x14ac:dyDescent="0.2">
      <c r="A16" s="39" t="s">
        <v>26</v>
      </c>
      <c r="B16" s="44">
        <f>_xll.qlBlackCalculatorStrikeSensitivity($B$6)</f>
        <v>-0.53881711705775137</v>
      </c>
      <c r="C16" s="14"/>
      <c r="D16" s="14"/>
      <c r="E16" s="47"/>
      <c r="F16" s="47"/>
      <c r="G16" s="47"/>
      <c r="H16" s="47"/>
      <c r="I16" s="47"/>
      <c r="J16" s="47"/>
      <c r="K16" s="47"/>
      <c r="L16" s="47"/>
      <c r="M16" s="47"/>
    </row>
    <row r="17" spans="1:13" x14ac:dyDescent="0.2">
      <c r="A17" s="38" t="s">
        <v>33</v>
      </c>
      <c r="B17" s="3">
        <v>1</v>
      </c>
      <c r="C17" s="14"/>
      <c r="D17" s="14"/>
      <c r="E17" s="47"/>
      <c r="F17" s="47"/>
      <c r="G17" s="47"/>
      <c r="H17" s="47"/>
      <c r="I17" s="47"/>
      <c r="J17" s="47"/>
      <c r="K17" s="47"/>
      <c r="L17" s="47"/>
      <c r="M17" s="47"/>
    </row>
    <row r="18" spans="1:13" x14ac:dyDescent="0.2">
      <c r="A18" s="38" t="s">
        <v>30</v>
      </c>
      <c r="B18" s="43">
        <f>_xll.qlBlackCalculatorVega($B$6,$B$17)</f>
        <v>31.981572029731812</v>
      </c>
      <c r="C18" s="14"/>
      <c r="D18" s="14"/>
      <c r="E18" s="47"/>
      <c r="F18" s="47"/>
      <c r="G18" s="47"/>
      <c r="H18" s="47"/>
      <c r="I18" s="47"/>
      <c r="J18" s="47"/>
      <c r="K18" s="47"/>
      <c r="L18" s="47"/>
      <c r="M18" s="47"/>
    </row>
    <row r="19" spans="1:13" x14ac:dyDescent="0.2">
      <c r="A19" s="38" t="s">
        <v>31</v>
      </c>
      <c r="B19" s="43">
        <f>_xll.qlBlackCalculatorRho($B$6,$B$17)</f>
        <v>53.881711705775118</v>
      </c>
      <c r="C19" s="14"/>
      <c r="D19" s="14"/>
      <c r="E19" s="47"/>
      <c r="F19" s="47"/>
      <c r="G19" s="47"/>
      <c r="H19" s="47"/>
      <c r="I19" s="47"/>
      <c r="J19" s="47"/>
      <c r="K19" s="47"/>
      <c r="L19" s="47"/>
      <c r="M19" s="47"/>
    </row>
    <row r="20" spans="1:13" x14ac:dyDescent="0.2">
      <c r="A20" s="38" t="s">
        <v>32</v>
      </c>
      <c r="B20" s="43">
        <f>_xll.qlBlackCalculatorDividendRho($B$6,$B$17)</f>
        <v>-59.301401793402569</v>
      </c>
      <c r="C20" s="14"/>
      <c r="D20" s="14"/>
      <c r="E20" s="47"/>
      <c r="F20" s="47"/>
      <c r="G20" s="47"/>
      <c r="H20" s="47"/>
      <c r="I20" s="47"/>
      <c r="J20" s="47"/>
      <c r="K20" s="47"/>
      <c r="L20" s="47"/>
      <c r="M20" s="47"/>
    </row>
    <row r="21" spans="1:13" x14ac:dyDescent="0.2">
      <c r="A21" s="38" t="s">
        <v>37</v>
      </c>
      <c r="B21" s="43">
        <f>_xll.qlBlackScholesCalculatorTheta($B$6,$B$17)</f>
        <v>-0.7182763702356687</v>
      </c>
      <c r="C21" s="14"/>
      <c r="D21" s="14"/>
      <c r="E21" s="47"/>
      <c r="F21" s="47"/>
      <c r="G21" s="47"/>
      <c r="H21" s="47"/>
      <c r="I21" s="47"/>
      <c r="J21" s="47"/>
      <c r="K21" s="47"/>
      <c r="L21" s="47"/>
      <c r="M21" s="47"/>
    </row>
    <row r="22" spans="1:13" ht="13.5" thickBot="1" x14ac:dyDescent="0.25">
      <c r="A22" s="37" t="s">
        <v>38</v>
      </c>
      <c r="B22" s="45">
        <f>_xll.qlBlackScholesCalculatorThetaPerDay($B$6,$B$17)</f>
        <v>-1.9678804663990925E-3</v>
      </c>
      <c r="C22" s="14"/>
      <c r="D22" s="14"/>
      <c r="E22" s="47"/>
      <c r="F22" s="47"/>
      <c r="G22" s="47"/>
      <c r="H22" s="47"/>
      <c r="I22" s="47"/>
      <c r="J22" s="47"/>
      <c r="K22" s="47"/>
      <c r="L22" s="47"/>
      <c r="M22" s="47"/>
    </row>
    <row r="23" spans="1:13" x14ac:dyDescent="0.2">
      <c r="A23" s="47"/>
      <c r="B23" s="47"/>
      <c r="D23" s="14"/>
      <c r="E23" s="47"/>
      <c r="F23" s="47"/>
      <c r="G23" s="47"/>
      <c r="H23" s="47"/>
      <c r="I23" s="47"/>
      <c r="J23" s="47"/>
      <c r="K23" s="47"/>
      <c r="L23" s="47"/>
      <c r="M23" s="47"/>
    </row>
    <row r="24" spans="1:13" x14ac:dyDescent="0.2">
      <c r="A24" s="47"/>
      <c r="B24" s="47"/>
      <c r="E24" s="47"/>
      <c r="F24" s="47"/>
      <c r="G24" s="47"/>
      <c r="H24" s="47"/>
      <c r="I24" s="47"/>
      <c r="J24" s="47"/>
      <c r="K24" s="47"/>
      <c r="L24" s="47"/>
      <c r="M24" s="47"/>
    </row>
    <row r="25" spans="1:13" x14ac:dyDescent="0.2">
      <c r="A25" s="47"/>
      <c r="B25" s="47"/>
      <c r="E25" s="47"/>
      <c r="F25" s="47"/>
      <c r="G25" s="47"/>
      <c r="H25" s="47"/>
      <c r="I25" s="47"/>
      <c r="J25" s="47"/>
      <c r="K25" s="47"/>
      <c r="L25" s="47"/>
      <c r="M25" s="47"/>
    </row>
    <row r="26" spans="1:13" x14ac:dyDescent="0.2">
      <c r="A26" s="47"/>
      <c r="B26" s="47"/>
      <c r="E26" s="47"/>
      <c r="F26" s="47"/>
      <c r="G26" s="47"/>
      <c r="H26" s="47"/>
      <c r="I26" s="47"/>
      <c r="J26" s="47"/>
      <c r="K26" s="47"/>
      <c r="L26" s="47"/>
      <c r="M26" s="47"/>
    </row>
    <row r="27" spans="1:13" x14ac:dyDescent="0.2">
      <c r="A27" s="47"/>
      <c r="B27" s="47"/>
      <c r="E27" s="47"/>
      <c r="F27" s="47"/>
      <c r="G27" s="47"/>
      <c r="H27" s="47"/>
      <c r="I27" s="47"/>
      <c r="J27" s="47"/>
      <c r="K27" s="47"/>
      <c r="L27" s="47"/>
      <c r="M27" s="47"/>
    </row>
    <row r="28" spans="1:13" x14ac:dyDescent="0.2">
      <c r="A28" s="47"/>
      <c r="B28" s="47"/>
      <c r="E28" s="47"/>
      <c r="F28" s="47"/>
      <c r="G28" s="47"/>
      <c r="H28" s="47"/>
      <c r="I28" s="47"/>
      <c r="J28" s="47"/>
      <c r="K28" s="47"/>
      <c r="L28" s="47"/>
      <c r="M28" s="47"/>
    </row>
    <row r="29" spans="1:13" x14ac:dyDescent="0.2">
      <c r="A29" s="47"/>
      <c r="B29" s="47"/>
      <c r="E29" s="47"/>
      <c r="F29" s="47"/>
      <c r="G29" s="47"/>
      <c r="H29" s="47"/>
      <c r="I29" s="47"/>
      <c r="J29" s="47"/>
      <c r="K29" s="47"/>
      <c r="L29" s="47"/>
      <c r="M29" s="47"/>
    </row>
    <row r="30" spans="1:13" x14ac:dyDescent="0.2">
      <c r="A30" s="47"/>
      <c r="B30" s="47"/>
      <c r="E30" s="47"/>
      <c r="F30" s="47"/>
      <c r="G30" s="47"/>
      <c r="H30" s="47"/>
      <c r="I30" s="47"/>
      <c r="J30" s="47"/>
      <c r="K30" s="47"/>
      <c r="L30" s="47"/>
      <c r="M30" s="47"/>
    </row>
    <row r="31" spans="1:13" x14ac:dyDescent="0.2">
      <c r="A31" s="47"/>
      <c r="B31" s="47"/>
      <c r="E31" s="47"/>
      <c r="F31" s="47"/>
      <c r="G31" s="47"/>
      <c r="H31" s="47"/>
      <c r="I31" s="47"/>
      <c r="J31" s="47"/>
      <c r="K31" s="47"/>
      <c r="L31" s="47"/>
      <c r="M31" s="47"/>
    </row>
    <row r="32" spans="1:13" x14ac:dyDescent="0.2">
      <c r="A32" s="47"/>
      <c r="B32" s="47"/>
      <c r="E32" s="47"/>
      <c r="F32" s="47"/>
      <c r="G32" s="47"/>
      <c r="H32" s="47"/>
      <c r="I32" s="47"/>
      <c r="J32" s="47"/>
      <c r="K32" s="47"/>
      <c r="L32" s="47"/>
      <c r="M32" s="47"/>
    </row>
    <row r="33" spans="1:13" x14ac:dyDescent="0.2">
      <c r="A33" s="47"/>
      <c r="B33" s="47"/>
      <c r="E33" s="47"/>
      <c r="F33" s="47"/>
      <c r="G33" s="47"/>
      <c r="H33" s="47"/>
      <c r="I33" s="47"/>
      <c r="J33" s="47"/>
      <c r="K33" s="47"/>
      <c r="L33" s="47"/>
      <c r="M33" s="47"/>
    </row>
    <row r="34" spans="1:13" x14ac:dyDescent="0.2">
      <c r="A34" s="47"/>
      <c r="B34" s="47"/>
      <c r="E34" s="47"/>
      <c r="F34" s="47"/>
      <c r="G34" s="47"/>
      <c r="H34" s="47"/>
      <c r="I34" s="47"/>
      <c r="J34" s="47"/>
      <c r="K34" s="47"/>
      <c r="L34" s="47"/>
      <c r="M34" s="47"/>
    </row>
    <row r="35" spans="1:13" x14ac:dyDescent="0.2">
      <c r="A35" s="47"/>
      <c r="B35" s="47"/>
      <c r="E35" s="47"/>
      <c r="F35" s="47"/>
      <c r="G35" s="47"/>
      <c r="H35" s="47"/>
      <c r="I35" s="47"/>
      <c r="J35" s="47"/>
      <c r="K35" s="47"/>
      <c r="L35" s="47"/>
      <c r="M35" s="47"/>
    </row>
    <row r="36" spans="1:13" x14ac:dyDescent="0.2">
      <c r="A36" s="47"/>
      <c r="B36" s="47"/>
      <c r="E36" s="47"/>
      <c r="F36" s="47"/>
      <c r="G36" s="47"/>
      <c r="H36" s="47"/>
      <c r="I36" s="47"/>
      <c r="J36" s="47"/>
      <c r="K36" s="47"/>
      <c r="L36" s="47"/>
      <c r="M36" s="47"/>
    </row>
    <row r="37" spans="1:13" x14ac:dyDescent="0.2">
      <c r="A37" s="47"/>
      <c r="B37" s="47"/>
      <c r="E37" s="47"/>
      <c r="F37" s="47"/>
      <c r="G37" s="47"/>
      <c r="H37" s="47"/>
      <c r="I37" s="47"/>
      <c r="J37" s="47"/>
      <c r="K37" s="47"/>
      <c r="L37" s="47"/>
      <c r="M37" s="47"/>
    </row>
    <row r="38" spans="1:13" x14ac:dyDescent="0.2">
      <c r="E38" s="47"/>
      <c r="F38" s="47"/>
      <c r="G38" s="47"/>
      <c r="H38" s="47"/>
      <c r="I38" s="47"/>
      <c r="J38" s="47"/>
      <c r="K38" s="47"/>
      <c r="L38" s="47"/>
      <c r="M38" s="47"/>
    </row>
    <row r="39" spans="1:13" x14ac:dyDescent="0.2">
      <c r="I39" s="47"/>
      <c r="J39" s="47"/>
      <c r="K39" s="47"/>
      <c r="L39" s="47"/>
      <c r="M39" s="47"/>
    </row>
  </sheetData>
  <phoneticPr fontId="2" type="noConversion"/>
  <dataValidations count="2">
    <dataValidation type="list" allowBlank="1" showInputMessage="1" showErrorMessage="1" sqref="F2">
      <formula1>"Call,Put"</formula1>
    </dataValidation>
    <dataValidation type="list" allowBlank="1" showInputMessage="1" showErrorMessage="1" sqref="E2">
      <formula1>"Vanilla, PercentageStrike, AssetOrNothing, CashOrNothing, Gap, SuperShare"</formula1>
    </dataValidation>
  </dataValidation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59"/>
  <sheetViews>
    <sheetView workbookViewId="0"/>
  </sheetViews>
  <sheetFormatPr defaultRowHeight="11.25" x14ac:dyDescent="0.2"/>
  <cols>
    <col min="1" max="1" width="9.42578125" style="1" bestFit="1" customWidth="1"/>
    <col min="2" max="2" width="9.28515625" style="1" bestFit="1" customWidth="1"/>
    <col min="3" max="3" width="10.7109375" style="1" bestFit="1" customWidth="1"/>
    <col min="4" max="4" width="17.85546875" style="1" bestFit="1" customWidth="1"/>
    <col min="5" max="5" width="11.42578125" style="1" bestFit="1" customWidth="1"/>
    <col min="6" max="6" width="8" style="1" bestFit="1" customWidth="1"/>
    <col min="7" max="7" width="7.42578125" style="1" bestFit="1" customWidth="1"/>
    <col min="8" max="8" width="8.85546875" style="1" bestFit="1" customWidth="1"/>
    <col min="9" max="9" width="8" style="1" bestFit="1" customWidth="1"/>
    <col min="10" max="11" width="12.42578125" style="1" bestFit="1" customWidth="1"/>
    <col min="12" max="12" width="4.85546875" style="1" bestFit="1" customWidth="1"/>
    <col min="13" max="13" width="4.140625" style="1" bestFit="1" customWidth="1"/>
    <col min="14" max="15" width="4.85546875" style="1" bestFit="1" customWidth="1"/>
    <col min="16" max="16" width="5.85546875" style="1" bestFit="1" customWidth="1"/>
    <col min="17" max="16384" width="9.140625" style="1"/>
  </cols>
  <sheetData>
    <row r="1" spans="1:16" x14ac:dyDescent="0.2">
      <c r="A1" s="2" t="s">
        <v>27</v>
      </c>
      <c r="B1" s="2" t="s">
        <v>8</v>
      </c>
      <c r="C1" s="2" t="s">
        <v>10</v>
      </c>
      <c r="D1" s="2" t="s">
        <v>42</v>
      </c>
      <c r="E1" s="2" t="s">
        <v>19</v>
      </c>
      <c r="F1" s="30"/>
      <c r="G1" s="30"/>
      <c r="H1" s="30"/>
      <c r="I1" s="30"/>
      <c r="J1" s="30"/>
      <c r="K1" s="30"/>
      <c r="L1" s="30"/>
      <c r="M1" s="30"/>
      <c r="N1" s="30"/>
      <c r="O1" s="30"/>
      <c r="P1" s="30"/>
    </row>
    <row r="2" spans="1:16" x14ac:dyDescent="0.2">
      <c r="A2" s="13" t="s">
        <v>0</v>
      </c>
      <c r="B2" s="13" t="s">
        <v>3</v>
      </c>
      <c r="C2" s="14">
        <v>52</v>
      </c>
      <c r="D2" s="14">
        <v>1</v>
      </c>
      <c r="E2" s="14">
        <v>1</v>
      </c>
      <c r="F2" s="30"/>
      <c r="G2" s="30"/>
      <c r="H2" s="30"/>
      <c r="I2" s="30"/>
      <c r="J2" s="30"/>
      <c r="K2" s="30"/>
      <c r="L2" s="30"/>
      <c r="M2" s="30"/>
      <c r="N2" s="30"/>
      <c r="O2" s="30"/>
      <c r="P2" s="30"/>
    </row>
    <row r="3" spans="1:16" x14ac:dyDescent="0.2">
      <c r="A3" s="13"/>
      <c r="B3" s="14"/>
      <c r="C3" s="14"/>
      <c r="D3" s="14"/>
      <c r="E3" s="14"/>
      <c r="F3" s="14"/>
      <c r="G3" s="14"/>
      <c r="H3" s="58"/>
      <c r="I3" s="30"/>
      <c r="J3" s="30"/>
      <c r="K3" s="30"/>
      <c r="L3" s="30"/>
      <c r="M3" s="30"/>
      <c r="N3" s="30"/>
      <c r="O3" s="14">
        <f>LN(fwdValue)</f>
        <v>3.912023005428146</v>
      </c>
      <c r="P3" s="59">
        <v>-2</v>
      </c>
    </row>
    <row r="4" spans="1:16" x14ac:dyDescent="0.2">
      <c r="A4" s="30"/>
      <c r="B4" s="14"/>
      <c r="C4" s="14"/>
      <c r="D4" s="14"/>
      <c r="E4" s="14"/>
      <c r="F4" s="14"/>
      <c r="G4" s="14"/>
      <c r="H4" s="58"/>
      <c r="I4" s="30"/>
      <c r="J4" s="30"/>
      <c r="K4" s="30"/>
      <c r="L4" s="30"/>
      <c r="M4" s="30"/>
      <c r="N4" s="30"/>
      <c r="O4" s="14">
        <f>N7/E2*D2</f>
        <v>50</v>
      </c>
      <c r="P4" s="59">
        <v>0.06</v>
      </c>
    </row>
    <row r="5" spans="1:16" x14ac:dyDescent="0.2">
      <c r="A5" s="30"/>
      <c r="B5" s="30"/>
      <c r="C5" s="30"/>
      <c r="D5" s="30"/>
      <c r="E5" s="30"/>
      <c r="F5" s="30"/>
      <c r="G5" s="30"/>
      <c r="H5" s="30"/>
      <c r="I5" s="30"/>
      <c r="J5" s="30"/>
      <c r="K5" s="30"/>
      <c r="L5" s="30"/>
      <c r="M5" s="30"/>
      <c r="N5" s="30"/>
      <c r="O5" s="59"/>
      <c r="P5" s="30"/>
    </row>
    <row r="6" spans="1:16" x14ac:dyDescent="0.2">
      <c r="A6" s="30"/>
      <c r="B6" s="30"/>
      <c r="C6" s="30"/>
      <c r="D6" s="30"/>
      <c r="E6" s="30"/>
      <c r="F6" s="30"/>
      <c r="G6" s="30"/>
      <c r="H6" s="30"/>
      <c r="I6" s="30"/>
      <c r="J6" s="30"/>
      <c r="K6" s="30"/>
      <c r="L6" s="30"/>
      <c r="M6" s="30"/>
      <c r="N6" s="30"/>
      <c r="O6" s="59"/>
      <c r="P6" s="30"/>
    </row>
    <row r="7" spans="1:16" x14ac:dyDescent="0.2">
      <c r="A7" s="30"/>
      <c r="B7" s="30"/>
      <c r="C7" s="30"/>
      <c r="D7" s="30"/>
      <c r="E7" s="30"/>
      <c r="F7" s="30"/>
      <c r="G7" s="30"/>
      <c r="H7" s="30"/>
      <c r="I7" s="30"/>
      <c r="J7" s="30"/>
      <c r="K7" s="30"/>
      <c r="L7" s="60">
        <v>1</v>
      </c>
      <c r="M7" s="58">
        <v>0.2</v>
      </c>
      <c r="N7" s="14">
        <v>50</v>
      </c>
      <c r="O7" s="59">
        <v>50</v>
      </c>
      <c r="P7" s="30"/>
    </row>
    <row r="8" spans="1:16" x14ac:dyDescent="0.2">
      <c r="A8" s="1" t="s">
        <v>47</v>
      </c>
      <c r="B8" s="1" t="s">
        <v>20</v>
      </c>
      <c r="C8" s="1" t="s">
        <v>20</v>
      </c>
      <c r="D8" s="1" t="s">
        <v>21</v>
      </c>
      <c r="E8" s="1" t="s">
        <v>36</v>
      </c>
      <c r="F8" s="1" t="s">
        <v>37</v>
      </c>
      <c r="G8" s="1" t="s">
        <v>30</v>
      </c>
      <c r="H8" s="1" t="s">
        <v>31</v>
      </c>
      <c r="I8" s="1" t="s">
        <v>43</v>
      </c>
      <c r="J8" s="1" t="s">
        <v>44</v>
      </c>
      <c r="L8" s="10" t="s">
        <v>48</v>
      </c>
      <c r="M8" s="10" t="s">
        <v>39</v>
      </c>
      <c r="N8" s="10" t="s">
        <v>47</v>
      </c>
      <c r="O8" s="10" t="s">
        <v>45</v>
      </c>
      <c r="P8" s="10" t="s">
        <v>46</v>
      </c>
    </row>
    <row r="9" spans="1:16" x14ac:dyDescent="0.2">
      <c r="A9" s="8">
        <f>HLOOKUP($A$8,$L$8:$O$59,ROW()-7,FALSE)</f>
        <v>10.456395525912733</v>
      </c>
      <c r="B9" s="9">
        <f t="shared" ref="B9:B40" si="0">HLOOKUP($B$8,$C$8:$I$59,ROW()-7,FALSE)</f>
        <v>1.4425987543284155E-15</v>
      </c>
      <c r="C9" s="9">
        <f>_xll.qlBlackCalculatorValue($K9)</f>
        <v>1.4425987543284155E-15</v>
      </c>
      <c r="D9" s="9">
        <f>_xll.qlBlackScholesCalculatorDelta($K9)</f>
        <v>5.6347066524530421E-15</v>
      </c>
      <c r="E9" s="9">
        <f>_xll.qlBlackScholesCalculatorGamma($K9)</f>
        <v>2.114954901232697E-14</v>
      </c>
      <c r="F9" s="9">
        <f>_xll.qlBlackScholesCalculatorTheta($K9,$L$7)</f>
        <v>-4.6248229542165662E-14</v>
      </c>
      <c r="G9" s="9">
        <f>_xll.qlBlackCalculatorVega($K9,$L$7)</f>
        <v>4.6248229542165788E-13</v>
      </c>
      <c r="H9" s="9">
        <f>_xll.qlBlackCalculatorRho($K9,$L$7)</f>
        <v>5.747612267621234E-14</v>
      </c>
      <c r="I9" s="9">
        <f>_xll.qlBlackCalculatorDividendRho($K9,$L$7)</f>
        <v>-5.8918721430540756E-14</v>
      </c>
      <c r="J9" s="10" t="str">
        <f>_xll.qlStrikedTypePayoff(,$A$2,$B$2,O9,$C$2)</f>
        <v>obj_00078#0002</v>
      </c>
      <c r="K9" s="10" t="str">
        <f>_xll.qlBlackScholesCalculator2(,J9,N9,$D$2,M9*SQRT(L9),$E$2)</f>
        <v>obj_000cf#0002</v>
      </c>
      <c r="L9" s="11">
        <f t="shared" ref="L9:L40" si="1">IF($A$8=L$8,0.0001+(ROW()-9)*0.1,$L$7)</f>
        <v>1</v>
      </c>
      <c r="M9" s="12">
        <f t="shared" ref="M9:M40" si="2">IF($A$8=$M$8,(ROW()-8.99)/50,$M$7)</f>
        <v>0.2</v>
      </c>
      <c r="N9" s="8">
        <f t="shared" ref="N9:N40" si="3">IF($A$8=$N$8,EXP(logFwd*(1+P9*M9*L9)),$N$7)</f>
        <v>10.456395525912733</v>
      </c>
      <c r="O9" s="8">
        <f t="shared" ref="O9:O40" si="4">IF($A$8=$O$8,EXP(logFwd*(1+P9*M9)),$O$7)</f>
        <v>50</v>
      </c>
      <c r="P9" s="8">
        <f>$P$3</f>
        <v>-2</v>
      </c>
    </row>
    <row r="10" spans="1:16" x14ac:dyDescent="0.2">
      <c r="A10" s="8">
        <f t="shared" ref="A10:A59" si="5">HLOOKUP($A$8,$L$8:$O$59,ROW()-7,FALSE)</f>
        <v>10.958967592539919</v>
      </c>
      <c r="B10" s="9">
        <f t="shared" si="0"/>
        <v>9.5544156228214E-15</v>
      </c>
      <c r="C10" s="9">
        <f>_xll.qlBlackCalculatorValue($K10)</f>
        <v>9.5544156228214E-15</v>
      </c>
      <c r="D10" s="9">
        <f>_xll.qlBlackScholesCalculatorDelta($K10)</f>
        <v>3.4614458291740991E-14</v>
      </c>
      <c r="E10" s="9">
        <f>_xll.qlBlackScholesCalculatorGamma($K10)</f>
        <v>1.2031652567546855E-13</v>
      </c>
      <c r="F10" s="9">
        <f>_xll.qlBlackScholesCalculatorTheta($K10,$L$7)</f>
        <v>-2.889978178228586E-13</v>
      </c>
      <c r="G10" s="9">
        <f>_xll.qlBlackCalculatorVega($K10,$L$7)</f>
        <v>2.8899781782285638E-12</v>
      </c>
      <c r="H10" s="9">
        <f>_xll.qlBlackCalculatorRho($K10,$L$7)</f>
        <v>3.6978431102969154E-13</v>
      </c>
      <c r="I10" s="9">
        <f>_xll.qlBlackCalculatorDividendRho($K10,$L$7)</f>
        <v>-3.7933872665251294E-13</v>
      </c>
      <c r="J10" s="10" t="str">
        <f>_xll.qlStrikedTypePayoff(,$A$2,$B$2,O10,$C$2)</f>
        <v>obj_00094#0002</v>
      </c>
      <c r="K10" s="10" t="str">
        <f>_xll.qlBlackScholesCalculator2(,J10,N10,$D$2,M10*SQRT(L10),$E$2)</f>
        <v>obj_000b4#0002</v>
      </c>
      <c r="L10" s="11">
        <f t="shared" si="1"/>
        <v>1</v>
      </c>
      <c r="M10" s="12">
        <f t="shared" si="2"/>
        <v>0.2</v>
      </c>
      <c r="N10" s="8">
        <f t="shared" si="3"/>
        <v>10.958967592539919</v>
      </c>
      <c r="O10" s="8">
        <f t="shared" si="4"/>
        <v>50</v>
      </c>
      <c r="P10" s="8">
        <f t="shared" ref="P10:P41" si="6">P9+$P$4</f>
        <v>-1.94</v>
      </c>
    </row>
    <row r="11" spans="1:16" x14ac:dyDescent="0.2">
      <c r="A11" s="8">
        <f t="shared" si="5"/>
        <v>11.485695084574262</v>
      </c>
      <c r="B11" s="9">
        <f t="shared" si="0"/>
        <v>5.9987189945410465E-14</v>
      </c>
      <c r="C11" s="9">
        <f>_xll.qlBlackCalculatorValue($K11)</f>
        <v>5.9987189945410465E-14</v>
      </c>
      <c r="D11" s="9">
        <f>_xll.qlBlackScholesCalculatorDelta($K11)</f>
        <v>2.0142044170317895E-13</v>
      </c>
      <c r="E11" s="9">
        <f>_xll.qlBlackScholesCalculatorGamma($K11)</f>
        <v>6.4777230913312964E-13</v>
      </c>
      <c r="F11" s="9">
        <f>_xll.qlBlackScholesCalculatorTheta($K11,$L$7)</f>
        <v>-1.7090978978131722E-12</v>
      </c>
      <c r="G11" s="9">
        <f>_xll.qlBlackCalculatorVega($K11,$L$7)</f>
        <v>1.7090978978132E-11</v>
      </c>
      <c r="H11" s="9">
        <f>_xll.qlBlackCalculatorRho($K11,$L$7)</f>
        <v>2.2534665872575433E-12</v>
      </c>
      <c r="I11" s="9">
        <f>_xll.qlBlackCalculatorDividendRho($K11,$L$7)</f>
        <v>-2.3134537772029538E-12</v>
      </c>
      <c r="J11" s="10" t="str">
        <f>_xll.qlStrikedTypePayoff(,$A$2,$B$2,O11,$C$2)</f>
        <v>obj_0006b#0002</v>
      </c>
      <c r="K11" s="10" t="str">
        <f>_xll.qlBlackScholesCalculator2(,J11,N11,$D$2,M11*SQRT(L11),$E$2)</f>
        <v>obj_000a9#0002</v>
      </c>
      <c r="L11" s="11">
        <f t="shared" si="1"/>
        <v>1</v>
      </c>
      <c r="M11" s="12">
        <f t="shared" si="2"/>
        <v>0.2</v>
      </c>
      <c r="N11" s="8">
        <f t="shared" si="3"/>
        <v>11.485695084574262</v>
      </c>
      <c r="O11" s="8">
        <f t="shared" si="4"/>
        <v>50</v>
      </c>
      <c r="P11" s="8">
        <f t="shared" si="6"/>
        <v>-1.88</v>
      </c>
    </row>
    <row r="12" spans="1:16" x14ac:dyDescent="0.2">
      <c r="A12" s="8">
        <f t="shared" si="5"/>
        <v>12.037738998846558</v>
      </c>
      <c r="B12" s="9">
        <f t="shared" si="0"/>
        <v>3.5706673453590283E-13</v>
      </c>
      <c r="C12" s="9">
        <f>_xll.qlBlackCalculatorValue($K12)</f>
        <v>3.5706673453590283E-13</v>
      </c>
      <c r="D12" s="9">
        <f>_xll.qlBlackScholesCalculatorDelta($K12)</f>
        <v>1.1102795415547619E-12</v>
      </c>
      <c r="E12" s="9">
        <f>_xll.qlBlackScholesCalculatorGamma($K12)</f>
        <v>3.3005962374794947E-12</v>
      </c>
      <c r="F12" s="9">
        <f>_xll.qlBlackScholesCalculatorTheta($K12,$L$7)</f>
        <v>-9.5656005550864102E-12</v>
      </c>
      <c r="G12" s="9">
        <f>_xll.qlBlackCalculatorVega($K12,$L$7)</f>
        <v>9.5656005550864183E-11</v>
      </c>
      <c r="H12" s="9">
        <f>_xll.qlBlackCalculatorRho($K12,$L$7)</f>
        <v>1.3008188602459323E-11</v>
      </c>
      <c r="I12" s="9">
        <f>_xll.qlBlackCalculatorDividendRho($K12,$L$7)</f>
        <v>-1.3365255336995226E-11</v>
      </c>
      <c r="J12" s="10" t="str">
        <f>_xll.qlStrikedTypePayoff(,$A$2,$B$2,O12,$C$2)</f>
        <v>obj_00075#0002</v>
      </c>
      <c r="K12" s="10" t="str">
        <f>_xll.qlBlackScholesCalculator2(,J12,N12,$D$2,M12*SQRT(L12),$E$2)</f>
        <v>obj_000d2#0002</v>
      </c>
      <c r="L12" s="11">
        <f t="shared" si="1"/>
        <v>1</v>
      </c>
      <c r="M12" s="12">
        <f t="shared" si="2"/>
        <v>0.2</v>
      </c>
      <c r="N12" s="8">
        <f t="shared" si="3"/>
        <v>12.037738998846558</v>
      </c>
      <c r="O12" s="8">
        <f t="shared" si="4"/>
        <v>50</v>
      </c>
      <c r="P12" s="8">
        <f t="shared" si="6"/>
        <v>-1.8199999999999998</v>
      </c>
    </row>
    <row r="13" spans="1:16" x14ac:dyDescent="0.2">
      <c r="A13" s="8">
        <f t="shared" si="5"/>
        <v>12.616316133880947</v>
      </c>
      <c r="B13" s="9">
        <f t="shared" si="0"/>
        <v>2.0152122216090776E-12</v>
      </c>
      <c r="C13" s="9">
        <f>_xll.qlBlackCalculatorValue($K13)</f>
        <v>2.0152122216090776E-12</v>
      </c>
      <c r="D13" s="9">
        <f>_xll.qlBlackScholesCalculatorDelta($K13)</f>
        <v>5.7978767359986943E-12</v>
      </c>
      <c r="E13" s="9">
        <f>_xll.qlBlackScholesCalculatorGamma($K13)</f>
        <v>1.5916051895424264E-11</v>
      </c>
      <c r="F13" s="9">
        <f>_xll.qlBlackScholesCalculatorTheta($K13,$L$7)</f>
        <v>-5.0667615691101373E-11</v>
      </c>
      <c r="G13" s="9">
        <f>_xll.qlBlackCalculatorVega($K13,$L$7)</f>
        <v>5.0667615691101561E-10</v>
      </c>
      <c r="H13" s="9">
        <f>_xll.qlBlackCalculatorRho($K13,$L$7)</f>
        <v>7.1132633585024489E-11</v>
      </c>
      <c r="I13" s="9">
        <f>_xll.qlBlackCalculatorDividendRho($K13,$L$7)</f>
        <v>-7.3147845806633566E-11</v>
      </c>
      <c r="J13" s="10" t="str">
        <f>_xll.qlStrikedTypePayoff(,$A$2,$B$2,O13,$C$2)</f>
        <v>obj_0007a#0002</v>
      </c>
      <c r="K13" s="10" t="str">
        <f>_xll.qlBlackScholesCalculator2(,J13,N13,$D$2,M13*SQRT(L13),$E$2)</f>
        <v>obj_000c8#0002</v>
      </c>
      <c r="L13" s="11">
        <f t="shared" si="1"/>
        <v>1</v>
      </c>
      <c r="M13" s="12">
        <f t="shared" si="2"/>
        <v>0.2</v>
      </c>
      <c r="N13" s="8">
        <f t="shared" si="3"/>
        <v>12.616316133880947</v>
      </c>
      <c r="O13" s="8">
        <f t="shared" si="4"/>
        <v>50</v>
      </c>
      <c r="P13" s="8">
        <f t="shared" si="6"/>
        <v>-1.7599999999999998</v>
      </c>
    </row>
    <row r="14" spans="1:16" x14ac:dyDescent="0.2">
      <c r="A14" s="8">
        <f t="shared" si="5"/>
        <v>13.222701771925466</v>
      </c>
      <c r="B14" s="9">
        <f t="shared" si="0"/>
        <v>1.0785008073692212E-11</v>
      </c>
      <c r="C14" s="9">
        <f>_xll.qlBlackCalculatorValue($K14)</f>
        <v>1.0785008073692212E-11</v>
      </c>
      <c r="D14" s="9">
        <f>_xll.qlBlackScholesCalculatorDelta($K14)</f>
        <v>2.8684072484400039E-11</v>
      </c>
      <c r="E14" s="9">
        <f>_xll.qlBlackScholesCalculatorGamma($K14)</f>
        <v>7.2635882549643741E-11</v>
      </c>
      <c r="F14" s="9">
        <f>_xll.qlBlackScholesCalculatorTheta($K14,$L$7)</f>
        <v>-2.5399292478706838E-10</v>
      </c>
      <c r="G14" s="9">
        <f>_xll.qlBlackCalculatorVega($K14,$L$7)</f>
        <v>2.5399292478706681E-9</v>
      </c>
      <c r="H14" s="9">
        <f>_xll.qlBlackCalculatorRho($K14,$L$7)</f>
        <v>3.6849592799182238E-10</v>
      </c>
      <c r="I14" s="9">
        <f>_xll.qlBlackCalculatorDividendRho($K14,$L$7)</f>
        <v>-3.792809360655146E-10</v>
      </c>
      <c r="J14" s="10" t="str">
        <f>_xll.qlStrikedTypePayoff(,$A$2,$B$2,O14,$C$2)</f>
        <v>obj_00083#0002</v>
      </c>
      <c r="K14" s="10" t="str">
        <f>_xll.qlBlackScholesCalculator2(,J14,N14,$D$2,M14*SQRT(L14),$E$2)</f>
        <v>obj_000b5#0002</v>
      </c>
      <c r="L14" s="11">
        <f t="shared" si="1"/>
        <v>1</v>
      </c>
      <c r="M14" s="12">
        <f t="shared" si="2"/>
        <v>0.2</v>
      </c>
      <c r="N14" s="8">
        <f t="shared" si="3"/>
        <v>13.222701771925466</v>
      </c>
      <c r="O14" s="8">
        <f t="shared" si="4"/>
        <v>50</v>
      </c>
      <c r="P14" s="8">
        <f t="shared" si="6"/>
        <v>-1.6999999999999997</v>
      </c>
    </row>
    <row r="15" spans="1:16" x14ac:dyDescent="0.2">
      <c r="A15" s="8">
        <f t="shared" si="5"/>
        <v>13.858232489890677</v>
      </c>
      <c r="B15" s="9">
        <f t="shared" si="0"/>
        <v>5.4739441281022506E-11</v>
      </c>
      <c r="C15" s="9">
        <f>_xll.qlBlackCalculatorValue($K15)</f>
        <v>5.4739441281022506E-11</v>
      </c>
      <c r="D15" s="9">
        <f>_xll.qlBlackScholesCalculatorDelta($K15)</f>
        <v>1.3445524464326283E-10</v>
      </c>
      <c r="E15" s="9">
        <f>_xll.qlBlackScholesCalculatorGamma($K15)</f>
        <v>3.1371841621408328E-10</v>
      </c>
      <c r="F15" s="9">
        <f>_xll.qlBlackScholesCalculatorTheta($K15,$L$7)</f>
        <v>-1.2049962498871282E-9</v>
      </c>
      <c r="G15" s="9">
        <f>_xll.qlBlackCalculatorVega($K15,$L$7)</f>
        <v>1.2049962498871357E-8</v>
      </c>
      <c r="H15" s="9">
        <f>_xll.qlBlackCalculatorRho($K15,$L$7)</f>
        <v>1.8085725984704472E-9</v>
      </c>
      <c r="I15" s="9">
        <f>_xll.qlBlackCalculatorDividendRho($K15,$L$7)</f>
        <v>-1.8633120397514697E-9</v>
      </c>
      <c r="J15" s="10" t="str">
        <f>_xll.qlStrikedTypePayoff(,$A$2,$B$2,O15,$C$2)</f>
        <v>obj_000a3#0002</v>
      </c>
      <c r="K15" s="10" t="str">
        <f>_xll.qlBlackScholesCalculator2(,J15,N15,$D$2,M15*SQRT(L15),$E$2)</f>
        <v>obj_000b8#0002</v>
      </c>
      <c r="L15" s="11">
        <f t="shared" si="1"/>
        <v>1</v>
      </c>
      <c r="M15" s="12">
        <f t="shared" si="2"/>
        <v>0.2</v>
      </c>
      <c r="N15" s="8">
        <f t="shared" si="3"/>
        <v>13.858232489890677</v>
      </c>
      <c r="O15" s="8">
        <f t="shared" si="4"/>
        <v>50</v>
      </c>
      <c r="P15" s="8">
        <f t="shared" si="6"/>
        <v>-1.6399999999999997</v>
      </c>
    </row>
    <row r="16" spans="1:16" x14ac:dyDescent="0.2">
      <c r="A16" s="8">
        <f t="shared" si="5"/>
        <v>14.524309105392124</v>
      </c>
      <c r="B16" s="9">
        <f t="shared" si="0"/>
        <v>2.6352208253637574E-10</v>
      </c>
      <c r="C16" s="9">
        <f>_xll.qlBlackCalculatorValue($K16)</f>
        <v>2.6352208253637574E-10</v>
      </c>
      <c r="D16" s="9">
        <f>_xll.qlBlackScholesCalculatorDelta($K16)</f>
        <v>5.9719007225487469E-10</v>
      </c>
      <c r="E16" s="9">
        <f>_xll.qlBlackScholesCalculatorGamma($K16)</f>
        <v>1.2823357052171214E-9</v>
      </c>
      <c r="F16" s="9">
        <f>_xll.qlBlackScholesCalculatorTheta($K16,$L$7)</f>
        <v>-5.4103168075251708E-9</v>
      </c>
      <c r="G16" s="9">
        <f>_xll.qlBlackCalculatorVega($K16,$L$7)</f>
        <v>5.4103168075252199E-8</v>
      </c>
      <c r="H16" s="9">
        <f>_xll.qlBlackCalculatorRho($K16,$L$7)</f>
        <v>8.4102511215649604E-9</v>
      </c>
      <c r="I16" s="9">
        <f>_xll.qlBlackCalculatorDividendRho($K16,$L$7)</f>
        <v>-8.6737732041013361E-9</v>
      </c>
      <c r="J16" s="10" t="str">
        <f>_xll.qlStrikedTypePayoff(,$A$2,$B$2,O16,$C$2)</f>
        <v>obj_0008d#0002</v>
      </c>
      <c r="K16" s="10" t="str">
        <f>_xll.qlBlackScholesCalculator2(,J16,N16,$D$2,M16*SQRT(L16),$E$2)</f>
        <v>obj_000d5#0002</v>
      </c>
      <c r="L16" s="11">
        <f t="shared" si="1"/>
        <v>1</v>
      </c>
      <c r="M16" s="12">
        <f t="shared" si="2"/>
        <v>0.2</v>
      </c>
      <c r="N16" s="8">
        <f t="shared" si="3"/>
        <v>14.524309105392124</v>
      </c>
      <c r="O16" s="8">
        <f t="shared" si="4"/>
        <v>50</v>
      </c>
      <c r="P16" s="8">
        <f t="shared" si="6"/>
        <v>-1.5799999999999996</v>
      </c>
    </row>
    <row r="17" spans="1:16" x14ac:dyDescent="0.2">
      <c r="A17" s="8">
        <f t="shared" si="5"/>
        <v>15.222399764390202</v>
      </c>
      <c r="B17" s="9">
        <f t="shared" si="0"/>
        <v>1.2034614229882086E-9</v>
      </c>
      <c r="C17" s="9">
        <f>_xll.qlBlackCalculatorValue($K17)</f>
        <v>1.2034614229882086E-9</v>
      </c>
      <c r="D17" s="9">
        <f>_xll.qlBlackScholesCalculatorDelta($K17)</f>
        <v>2.513514253212217E-9</v>
      </c>
      <c r="E17" s="9">
        <f>_xll.qlBlackScholesCalculatorGamma($K17)</f>
        <v>4.9606248082073655E-9</v>
      </c>
      <c r="F17" s="9">
        <f>_xll.qlBlackScholesCalculatorTheta($K17,$L$7)</f>
        <v>-2.2989663924354136E-8</v>
      </c>
      <c r="G17" s="9">
        <f>_xll.qlBlackCalculatorVega($K17,$L$7)</f>
        <v>2.2989663924354346E-7</v>
      </c>
      <c r="H17" s="9">
        <f>_xll.qlBlackCalculatorRho($K17,$L$7)</f>
        <v>3.7058257352900918E-8</v>
      </c>
      <c r="I17" s="9">
        <f>_xll.qlBlackCalculatorDividendRho($K17,$L$7)</f>
        <v>-3.8261718775889126E-8</v>
      </c>
      <c r="J17" s="10" t="str">
        <f>_xll.qlStrikedTypePayoff(,$A$2,$B$2,O17,$C$2)</f>
        <v>obj_000a6#0002</v>
      </c>
      <c r="K17" s="10" t="str">
        <f>_xll.qlBlackScholesCalculator2(,J17,N17,$D$2,M17*SQRT(L17),$E$2)</f>
        <v>obj_000ca#0002</v>
      </c>
      <c r="L17" s="11">
        <f t="shared" si="1"/>
        <v>1</v>
      </c>
      <c r="M17" s="12">
        <f t="shared" si="2"/>
        <v>0.2</v>
      </c>
      <c r="N17" s="8">
        <f t="shared" si="3"/>
        <v>15.222399764390202</v>
      </c>
      <c r="O17" s="8">
        <f t="shared" si="4"/>
        <v>50</v>
      </c>
      <c r="P17" s="8">
        <f t="shared" si="6"/>
        <v>-1.5199999999999996</v>
      </c>
    </row>
    <row r="18" spans="1:16" x14ac:dyDescent="0.2">
      <c r="A18" s="8">
        <f t="shared" si="5"/>
        <v>15.954043177233173</v>
      </c>
      <c r="B18" s="9">
        <f t="shared" si="0"/>
        <v>5.2144885741727245E-9</v>
      </c>
      <c r="C18" s="9">
        <f>_xll.qlBlackCalculatorValue($K18)</f>
        <v>5.2144885741727245E-9</v>
      </c>
      <c r="D18" s="9">
        <f>_xll.qlBlackScholesCalculatorDelta($K18)</f>
        <v>1.0025908603328516E-8</v>
      </c>
      <c r="E18" s="9">
        <f>_xll.qlBlackScholesCalculatorGamma($K18)</f>
        <v>1.8161175354725089E-8</v>
      </c>
      <c r="F18" s="9">
        <f>_xll.qlBlackScholesCalculatorTheta($K18,$L$7)</f>
        <v>-9.2451821808086715E-8</v>
      </c>
      <c r="G18" s="9">
        <f>_xll.qlBlackCalculatorVega($K18,$L$7)</f>
        <v>9.2451821808086371E-7</v>
      </c>
      <c r="H18" s="9">
        <f>_xll.qlBlackCalculatorRho($K18,$L$7)</f>
        <v>1.5473929017432403E-7</v>
      </c>
      <c r="I18" s="9">
        <f>_xll.qlBlackCalculatorDividendRho($K18,$L$7)</f>
        <v>-1.5995377874849675E-7</v>
      </c>
      <c r="J18" s="10" t="str">
        <f>_xll.qlStrikedTypePayoff(,$A$2,$B$2,O18,$C$2)</f>
        <v>obj_00095#0002</v>
      </c>
      <c r="K18" s="10" t="str">
        <f>_xll.qlBlackScholesCalculator2(,J18,N18,$D$2,M18*SQRT(L18),$E$2)</f>
        <v>obj_000c1#0002</v>
      </c>
      <c r="L18" s="11">
        <f t="shared" si="1"/>
        <v>1</v>
      </c>
      <c r="M18" s="12">
        <f t="shared" si="2"/>
        <v>0.2</v>
      </c>
      <c r="N18" s="8">
        <f t="shared" si="3"/>
        <v>15.954043177233173</v>
      </c>
      <c r="O18" s="8">
        <f t="shared" si="4"/>
        <v>50</v>
      </c>
      <c r="P18" s="8">
        <f t="shared" si="6"/>
        <v>-1.4599999999999995</v>
      </c>
    </row>
    <row r="19" spans="1:16" x14ac:dyDescent="0.2">
      <c r="A19" s="8">
        <f t="shared" si="5"/>
        <v>16.72085201023603</v>
      </c>
      <c r="B19" s="9">
        <f t="shared" si="0"/>
        <v>2.1440370645393185E-8</v>
      </c>
      <c r="C19" s="9">
        <f>_xll.qlBlackCalculatorValue($K19)</f>
        <v>2.1440370645393185E-8</v>
      </c>
      <c r="D19" s="9">
        <f>_xll.qlBlackScholesCalculatorDelta($K19)</f>
        <v>3.7903879812617235E-8</v>
      </c>
      <c r="E19" s="9">
        <f>_xll.qlBlackScholesCalculatorGamma($K19)</f>
        <v>6.2925177254125577E-8</v>
      </c>
      <c r="F19" s="9">
        <f>_xll.qlBlackScholesCalculatorTheta($K19,$L$7)</f>
        <v>-3.5186109467542886E-7</v>
      </c>
      <c r="G19" s="9">
        <f>_xll.qlBlackCalculatorVega($K19,$L$7)</f>
        <v>3.5186109467542898E-6</v>
      </c>
      <c r="H19" s="9">
        <f>_xll.qlBlackCalculatorRho($K19,$L$7)</f>
        <v>6.1234479431515376E-7</v>
      </c>
      <c r="I19" s="9">
        <f>_xll.qlBlackCalculatorDividendRho($K19,$L$7)</f>
        <v>-6.3378516496054695E-7</v>
      </c>
      <c r="J19" s="10" t="str">
        <f>_xll.qlStrikedTypePayoff(,$A$2,$B$2,O19,$C$2)</f>
        <v>obj_0006c#0002</v>
      </c>
      <c r="K19" s="10" t="str">
        <f>_xll.qlBlackScholesCalculator2(,J19,N19,$D$2,M19*SQRT(L19),$E$2)</f>
        <v>obj_000c2#0002</v>
      </c>
      <c r="L19" s="11">
        <f t="shared" si="1"/>
        <v>1</v>
      </c>
      <c r="M19" s="12">
        <f t="shared" si="2"/>
        <v>0.2</v>
      </c>
      <c r="N19" s="8">
        <f t="shared" si="3"/>
        <v>16.72085201023603</v>
      </c>
      <c r="O19" s="8">
        <f t="shared" si="4"/>
        <v>50</v>
      </c>
      <c r="P19" s="8">
        <f t="shared" si="6"/>
        <v>-1.3999999999999995</v>
      </c>
    </row>
    <row r="20" spans="1:16" x14ac:dyDescent="0.2">
      <c r="A20" s="8">
        <f t="shared" si="5"/>
        <v>17.524516440270883</v>
      </c>
      <c r="B20" s="9">
        <f t="shared" si="0"/>
        <v>8.3670556635608083E-8</v>
      </c>
      <c r="C20" s="9">
        <f>_xll.qlBlackCalculatorValue($K20)</f>
        <v>8.3670556635608083E-8</v>
      </c>
      <c r="D20" s="9">
        <f>_xll.qlBlackScholesCalculatorDelta($K20)</f>
        <v>1.3583438640552215E-7</v>
      </c>
      <c r="E20" s="9">
        <f>_xll.qlBlackScholesCalculatorGamma($K20)</f>
        <v>2.0633735939053527E-7</v>
      </c>
      <c r="F20" s="9">
        <f>_xll.qlBlackScholesCalculatorTheta($K20,$L$7)</f>
        <v>-1.2673598669555457E-6</v>
      </c>
      <c r="G20" s="9">
        <f>_xll.qlBlackCalculatorVega($K20,$L$7)</f>
        <v>1.2673598669555382E-5</v>
      </c>
      <c r="H20" s="9">
        <f>_xll.qlBlackCalculatorRho($K20,$L$7)</f>
        <v>2.2967613810820823E-6</v>
      </c>
      <c r="I20" s="9">
        <f>_xll.qlBlackCalculatorDividendRho($K20,$L$7)</f>
        <v>-2.3804319377176904E-6</v>
      </c>
      <c r="J20" s="10" t="str">
        <f>_xll.qlStrikedTypePayoff(,$A$2,$B$2,O20,$C$2)</f>
        <v>obj_00076#0002</v>
      </c>
      <c r="K20" s="10" t="str">
        <f>_xll.qlBlackScholesCalculator2(,J20,N20,$D$2,M20*SQRT(L20),$E$2)</f>
        <v>obj_000aa#0002</v>
      </c>
      <c r="L20" s="11">
        <f t="shared" si="1"/>
        <v>1</v>
      </c>
      <c r="M20" s="12">
        <f t="shared" si="2"/>
        <v>0.2</v>
      </c>
      <c r="N20" s="8">
        <f t="shared" si="3"/>
        <v>17.524516440270883</v>
      </c>
      <c r="O20" s="8">
        <f t="shared" si="4"/>
        <v>50</v>
      </c>
      <c r="P20" s="8">
        <f t="shared" si="6"/>
        <v>-1.3399999999999994</v>
      </c>
    </row>
    <row r="21" spans="1:16" x14ac:dyDescent="0.2">
      <c r="A21" s="8">
        <f t="shared" si="5"/>
        <v>18.36680788020379</v>
      </c>
      <c r="B21" s="9">
        <f t="shared" si="0"/>
        <v>3.0997193976683709E-7</v>
      </c>
      <c r="C21" s="9">
        <f>_xll.qlBlackCalculatorValue($K21)</f>
        <v>3.0997193976683709E-7</v>
      </c>
      <c r="D21" s="9">
        <f>_xll.qlBlackScholesCalculatorDelta($K21)</f>
        <v>4.6148324572838718E-7</v>
      </c>
      <c r="E21" s="9">
        <f>_xll.qlBlackScholesCalculatorGamma($K21)</f>
        <v>6.4033053766233546E-7</v>
      </c>
      <c r="F21" s="9">
        <f>_xll.qlBlackScholesCalculatorTheta($K21,$L$7)</f>
        <v>-4.320177354932006E-6</v>
      </c>
      <c r="G21" s="9">
        <f>_xll.qlBlackCalculatorVega($K21,$L$7)</f>
        <v>4.3201773549319958E-5</v>
      </c>
      <c r="H21" s="9">
        <f>_xll.qlBlackCalculatorRho($K21,$L$7)</f>
        <v>8.1660021744593238E-6</v>
      </c>
      <c r="I21" s="9">
        <f>_xll.qlBlackCalculatorDividendRho($K21,$L$7)</f>
        <v>-8.4759741142261609E-6</v>
      </c>
      <c r="J21" s="10" t="str">
        <f>_xll.qlStrikedTypePayoff(,$A$2,$B$2,O21,$C$2)</f>
        <v>obj_0007b#0002</v>
      </c>
      <c r="K21" s="10" t="str">
        <f>_xll.qlBlackScholesCalculator2(,J21,N21,$D$2,M21*SQRT(L21),$E$2)</f>
        <v>obj_000cd#0002</v>
      </c>
      <c r="L21" s="11">
        <f t="shared" si="1"/>
        <v>1</v>
      </c>
      <c r="M21" s="12">
        <f t="shared" si="2"/>
        <v>0.2</v>
      </c>
      <c r="N21" s="8">
        <f t="shared" si="3"/>
        <v>18.36680788020379</v>
      </c>
      <c r="O21" s="8">
        <f t="shared" si="4"/>
        <v>50</v>
      </c>
      <c r="P21" s="8">
        <f t="shared" si="6"/>
        <v>-1.2799999999999994</v>
      </c>
    </row>
    <row r="22" spans="1:16" x14ac:dyDescent="0.2">
      <c r="A22" s="8">
        <f t="shared" si="5"/>
        <v>19.249582883389483</v>
      </c>
      <c r="B22" s="9">
        <f t="shared" si="0"/>
        <v>1.090384266300513E-6</v>
      </c>
      <c r="C22" s="9">
        <f>_xll.qlBlackCalculatorValue($K22)</f>
        <v>1.090384266300513E-6</v>
      </c>
      <c r="D22" s="9">
        <f>_xll.qlBlackScholesCalculatorDelta($K22)</f>
        <v>1.4865602585012732E-6</v>
      </c>
      <c r="E22" s="9">
        <f>_xll.qlBlackScholesCalculatorGamma($K22)</f>
        <v>1.8806305408405714E-6</v>
      </c>
      <c r="F22" s="9">
        <f>_xll.qlBlackScholesCalculatorTheta($K22,$L$7)</f>
        <v>-1.3937219081826406E-5</v>
      </c>
      <c r="G22" s="9">
        <f>_xll.qlBlackCalculatorVega($K22,$L$7)</f>
        <v>1.3937219081826355E-4</v>
      </c>
      <c r="H22" s="9">
        <f>_xll.qlBlackCalculatorRho($K22,$L$7)</f>
        <v>2.7525280640872708E-5</v>
      </c>
      <c r="I22" s="9">
        <f>_xll.qlBlackCalculatorDividendRho($K22,$L$7)</f>
        <v>-2.8615664907173221E-5</v>
      </c>
      <c r="J22" s="10" t="str">
        <f>_xll.qlStrikedTypePayoff(,$A$2,$B$2,O22,$C$2)</f>
        <v>obj_00084#0002</v>
      </c>
      <c r="K22" s="10" t="str">
        <f>_xll.qlBlackScholesCalculator2(,J22,N22,$D$2,M22*SQRT(L22),$E$2)</f>
        <v>obj_000b7#0002</v>
      </c>
      <c r="L22" s="11">
        <f t="shared" si="1"/>
        <v>1</v>
      </c>
      <c r="M22" s="12">
        <f t="shared" si="2"/>
        <v>0.2</v>
      </c>
      <c r="N22" s="8">
        <f t="shared" si="3"/>
        <v>19.249582883389483</v>
      </c>
      <c r="O22" s="8">
        <f t="shared" si="4"/>
        <v>50</v>
      </c>
      <c r="P22" s="8">
        <f t="shared" si="6"/>
        <v>-1.2199999999999993</v>
      </c>
    </row>
    <row r="23" spans="1:16" x14ac:dyDescent="0.2">
      <c r="A23" s="8">
        <f t="shared" si="5"/>
        <v>20.174787235830227</v>
      </c>
      <c r="B23" s="9">
        <f t="shared" si="0"/>
        <v>3.6429447272715541E-6</v>
      </c>
      <c r="C23" s="9">
        <f>_xll.qlBlackCalculatorValue($K23)</f>
        <v>3.6429447272715541E-6</v>
      </c>
      <c r="D23" s="9">
        <f>_xll.qlBlackScholesCalculatorDelta($K23)</f>
        <v>4.5410553146664988E-6</v>
      </c>
      <c r="E23" s="9">
        <f>_xll.qlBlackScholesCalculatorGamma($K23)</f>
        <v>5.227278993805742E-6</v>
      </c>
      <c r="F23" s="9">
        <f>_xll.qlBlackScholesCalculatorTheta($K23,$L$7)</f>
        <v>-4.2552355195311127E-5</v>
      </c>
      <c r="G23" s="9">
        <f>_xll.qlBlackCalculatorVega($K23,$L$7)</f>
        <v>4.2552355195311226E-4</v>
      </c>
      <c r="H23" s="9">
        <f>_xll.qlBlackCalculatorRho($K23,$L$7)</f>
        <v>8.797188007226165E-5</v>
      </c>
      <c r="I23" s="9">
        <f>_xll.qlBlackCalculatorDividendRho($K23,$L$7)</f>
        <v>-9.1614824799533204E-5</v>
      </c>
      <c r="J23" s="10" t="str">
        <f>_xll.qlStrikedTypePayoff(,$A$2,$B$2,O23,$C$2)</f>
        <v>obj_0009e#0002</v>
      </c>
      <c r="K23" s="10" t="str">
        <f>_xll.qlBlackScholesCalculator2(,J23,N23,$D$2,M23*SQRT(L23),$E$2)</f>
        <v>obj_000ad#0002</v>
      </c>
      <c r="L23" s="11">
        <f t="shared" si="1"/>
        <v>1</v>
      </c>
      <c r="M23" s="12">
        <f t="shared" si="2"/>
        <v>0.2</v>
      </c>
      <c r="N23" s="8">
        <f t="shared" si="3"/>
        <v>20.174787235830227</v>
      </c>
      <c r="O23" s="8">
        <f t="shared" si="4"/>
        <v>50</v>
      </c>
      <c r="P23" s="8">
        <f t="shared" si="6"/>
        <v>-1.1599999999999993</v>
      </c>
    </row>
    <row r="24" spans="1:16" x14ac:dyDescent="0.2">
      <c r="A24" s="8">
        <f t="shared" si="5"/>
        <v>21.144460245018543</v>
      </c>
      <c r="B24" s="9">
        <f t="shared" si="0"/>
        <v>1.1562755060577981E-5</v>
      </c>
      <c r="C24" s="9">
        <f>_xll.qlBlackCalculatorValue($K24)</f>
        <v>1.1562755060577981E-5</v>
      </c>
      <c r="D24" s="9">
        <f>_xll.qlBlackScholesCalculatorDelta($K24)</f>
        <v>1.3156921757462086E-5</v>
      </c>
      <c r="E24" s="9">
        <f>_xll.qlBlackScholesCalculatorGamma($K24)</f>
        <v>1.3750573145905121E-5</v>
      </c>
      <c r="F24" s="9">
        <f>_xll.qlBlackScholesCalculatorTheta($K24,$L$7)</f>
        <v>-1.2295437967503196E-4</v>
      </c>
      <c r="G24" s="9">
        <f>_xll.qlBlackCalculatorVega($K24,$L$7)</f>
        <v>1.2295437967503146E-3</v>
      </c>
      <c r="H24" s="9">
        <f>_xll.qlBlackCalculatorRho($K24,$L$7)</f>
        <v>2.6663325398689885E-4</v>
      </c>
      <c r="I24" s="9">
        <f>_xll.qlBlackCalculatorDividendRho($K24,$L$7)</f>
        <v>-2.7819600904747683E-4</v>
      </c>
      <c r="J24" s="10" t="str">
        <f>_xll.qlStrikedTypePayoff(,$A$2,$B$2,O24,$C$2)</f>
        <v>obj_0008e#0002</v>
      </c>
      <c r="K24" s="10" t="str">
        <f>_xll.qlBlackScholesCalculator2(,J24,N24,$D$2,M24*SQRT(L24),$E$2)</f>
        <v>obj_000b9#0002</v>
      </c>
      <c r="L24" s="11">
        <f t="shared" si="1"/>
        <v>1</v>
      </c>
      <c r="M24" s="12">
        <f t="shared" si="2"/>
        <v>0.2</v>
      </c>
      <c r="N24" s="8">
        <f t="shared" si="3"/>
        <v>21.144460245018543</v>
      </c>
      <c r="O24" s="8">
        <f t="shared" si="4"/>
        <v>50</v>
      </c>
      <c r="P24" s="8">
        <f t="shared" si="6"/>
        <v>-1.0999999999999992</v>
      </c>
    </row>
    <row r="25" spans="1:16" x14ac:dyDescent="0.2">
      <c r="A25" s="8">
        <f t="shared" si="5"/>
        <v>22.160739234917191</v>
      </c>
      <c r="B25" s="9">
        <f t="shared" si="0"/>
        <v>3.4876977905694121E-5</v>
      </c>
      <c r="C25" s="9">
        <f>_xll.qlBlackCalculatorValue($K25)</f>
        <v>3.4876977905694121E-5</v>
      </c>
      <c r="D25" s="9">
        <f>_xll.qlBlackScholesCalculatorDelta($K25)</f>
        <v>3.6162633069880003E-5</v>
      </c>
      <c r="E25" s="9">
        <f>_xll.qlBlackScholesCalculatorGamma($K25)</f>
        <v>3.4232518065843297E-5</v>
      </c>
      <c r="F25" s="9">
        <f>_xll.qlBlackScholesCalculatorTheta($K25,$L$7)</f>
        <v>-3.362306719699471E-4</v>
      </c>
      <c r="G25" s="9">
        <f>_xll.qlBlackCalculatorVega($K25,$L$7)</f>
        <v>3.3623067196994899E-3</v>
      </c>
      <c r="H25" s="9">
        <f>_xll.qlBlackCalculatorRho($K25,$L$7)</f>
        <v>7.6651370360390715E-4</v>
      </c>
      <c r="I25" s="9">
        <f>_xll.qlBlackCalculatorDividendRho($K25,$L$7)</f>
        <v>-8.0139068150960127E-4</v>
      </c>
      <c r="J25" s="10" t="str">
        <f>_xll.qlStrikedTypePayoff(,$A$2,$B$2,O25,$C$2)</f>
        <v>obj_000a1#0002</v>
      </c>
      <c r="K25" s="10" t="str">
        <f>_xll.qlBlackScholesCalculator2(,J25,N25,$D$2,M25*SQRT(L25),$E$2)</f>
        <v>obj_000d0#0002</v>
      </c>
      <c r="L25" s="11">
        <f t="shared" si="1"/>
        <v>1</v>
      </c>
      <c r="M25" s="12">
        <f t="shared" si="2"/>
        <v>0.2</v>
      </c>
      <c r="N25" s="8">
        <f t="shared" si="3"/>
        <v>22.160739234917191</v>
      </c>
      <c r="O25" s="8">
        <f t="shared" si="4"/>
        <v>50</v>
      </c>
      <c r="P25" s="8">
        <f t="shared" si="6"/>
        <v>-1.0399999999999991</v>
      </c>
    </row>
    <row r="26" spans="1:16" x14ac:dyDescent="0.2">
      <c r="A26" s="8">
        <f t="shared" si="5"/>
        <v>23.225864256984135</v>
      </c>
      <c r="B26" s="9">
        <f t="shared" si="0"/>
        <v>1.0000761084494195E-4</v>
      </c>
      <c r="C26" s="9">
        <f>_xll.qlBlackCalculatorValue($K26)</f>
        <v>1.0000761084494195E-4</v>
      </c>
      <c r="D26" s="9">
        <f>_xll.qlBlackScholesCalculatorDelta($K26)</f>
        <v>9.4312684010280316E-5</v>
      </c>
      <c r="E26" s="9">
        <f>_xll.qlBlackScholesCalculatorGamma($K26)</f>
        <v>8.0654725292212672E-5</v>
      </c>
      <c r="F26" s="9">
        <f>_xll.qlBlackScholesCalculatorTheta($K26,$L$7)</f>
        <v>-8.7016894309589461E-4</v>
      </c>
      <c r="G26" s="9">
        <f>_xll.qlBlackCalculatorVega($K26,$L$7)</f>
        <v>8.7016894309589199E-3</v>
      </c>
      <c r="H26" s="9">
        <f>_xll.qlBlackCalculatorRho($K26,$L$7)</f>
        <v>2.0904859856896662E-3</v>
      </c>
      <c r="I26" s="9">
        <f>_xll.qlBlackCalculatorDividendRho($K26,$L$7)</f>
        <v>-2.1904935965346081E-3</v>
      </c>
      <c r="J26" s="10" t="str">
        <f>_xll.qlStrikedTypePayoff(,$A$2,$B$2,O26,$C$2)</f>
        <v>obj_00096#0002</v>
      </c>
      <c r="K26" s="10" t="str">
        <f>_xll.qlBlackScholesCalculator2(,J26,N26,$D$2,M26*SQRT(L26),$E$2)</f>
        <v>obj_000d9#0002</v>
      </c>
      <c r="L26" s="11">
        <f t="shared" si="1"/>
        <v>1</v>
      </c>
      <c r="M26" s="12">
        <f t="shared" si="2"/>
        <v>0.2</v>
      </c>
      <c r="N26" s="8">
        <f t="shared" si="3"/>
        <v>23.225864256984135</v>
      </c>
      <c r="O26" s="8">
        <f t="shared" si="4"/>
        <v>50</v>
      </c>
      <c r="P26" s="8">
        <f t="shared" si="6"/>
        <v>-0.97999999999999909</v>
      </c>
    </row>
    <row r="27" spans="1:16" x14ac:dyDescent="0.2">
      <c r="A27" s="8">
        <f t="shared" si="5"/>
        <v>24.342183027626287</v>
      </c>
      <c r="B27" s="9">
        <f t="shared" si="0"/>
        <v>2.7271481987772937E-4</v>
      </c>
      <c r="C27" s="9">
        <f>_xll.qlBlackCalculatorValue($K27)</f>
        <v>2.7271481987772937E-4</v>
      </c>
      <c r="D27" s="9">
        <f>_xll.qlBlackScholesCalculatorDelta($K27)</f>
        <v>2.3344973154027122E-4</v>
      </c>
      <c r="E27" s="9">
        <f>_xll.qlBlackScholesCalculatorGamma($K27)</f>
        <v>1.7984307167091774E-4</v>
      </c>
      <c r="F27" s="9">
        <f>_xll.qlBlackScholesCalculatorTheta($K27,$L$7)</f>
        <v>-2.1312910162559571E-3</v>
      </c>
      <c r="G27" s="9">
        <f>_xll.qlBlackCalculatorVega($K27,$L$7)</f>
        <v>2.131291016255954E-2</v>
      </c>
      <c r="H27" s="9">
        <f>_xll.qlBlackCalculatorRho($K27,$L$7)</f>
        <v>5.4099612730257865E-3</v>
      </c>
      <c r="I27" s="9">
        <f>_xll.qlBlackCalculatorDividendRho($K27,$L$7)</f>
        <v>-5.6826760929035158E-3</v>
      </c>
      <c r="J27" s="10" t="str">
        <f>_xll.qlStrikedTypePayoff(,$A$2,$B$2,O27,$C$2)</f>
        <v>obj_0006d#0002</v>
      </c>
      <c r="K27" s="10" t="str">
        <f>_xll.qlBlackScholesCalculator2(,J27,N27,$D$2,M27*SQRT(L27),$E$2)</f>
        <v>obj_000af#0002</v>
      </c>
      <c r="L27" s="11">
        <f t="shared" si="1"/>
        <v>1</v>
      </c>
      <c r="M27" s="12">
        <f t="shared" si="2"/>
        <v>0.2</v>
      </c>
      <c r="N27" s="8">
        <f t="shared" si="3"/>
        <v>24.342183027626287</v>
      </c>
      <c r="O27" s="8">
        <f t="shared" si="4"/>
        <v>50</v>
      </c>
      <c r="P27" s="8">
        <f t="shared" si="6"/>
        <v>-0.91999999999999904</v>
      </c>
    </row>
    <row r="28" spans="1:16" x14ac:dyDescent="0.2">
      <c r="A28" s="8">
        <f t="shared" si="5"/>
        <v>25.512156102965122</v>
      </c>
      <c r="B28" s="9">
        <f t="shared" si="0"/>
        <v>7.075382084773419E-4</v>
      </c>
      <c r="C28" s="9">
        <f>_xll.qlBlackCalculatorValue($K28)</f>
        <v>7.075382084773419E-4</v>
      </c>
      <c r="D28" s="9">
        <f>_xll.qlBlackScholesCalculatorDelta($K28)</f>
        <v>5.4859748404724289E-4</v>
      </c>
      <c r="E28" s="9">
        <f>_xll.qlBlackScholesCalculatorGamma($K28)</f>
        <v>3.7951638601754333E-4</v>
      </c>
      <c r="F28" s="9">
        <f>_xll.qlBlackScholesCalculatorTheta($K28,$L$7)</f>
        <v>-4.9403174308579375E-3</v>
      </c>
      <c r="G28" s="9">
        <f>_xll.qlBlackCalculatorVega($K28,$L$7)</f>
        <v>4.9403174308579767E-2</v>
      </c>
      <c r="H28" s="9">
        <f>_xll.qlBlackCalculatorRho($K28,$L$7)</f>
        <v>1.3288366442229816E-2</v>
      </c>
      <c r="I28" s="9">
        <f>_xll.qlBlackCalculatorDividendRho($K28,$L$7)</f>
        <v>-1.3995904650707158E-2</v>
      </c>
      <c r="J28" s="10" t="str">
        <f>_xll.qlStrikedTypePayoff(,$A$2,$B$2,O28,$C$2)</f>
        <v>obj_00072#0002</v>
      </c>
      <c r="K28" s="10" t="str">
        <f>_xll.qlBlackScholesCalculator2(,J28,N28,$D$2,M28*SQRT(L28),$E$2)</f>
        <v>obj_000c3#0002</v>
      </c>
      <c r="L28" s="11">
        <f t="shared" si="1"/>
        <v>1</v>
      </c>
      <c r="M28" s="12">
        <f t="shared" si="2"/>
        <v>0.2</v>
      </c>
      <c r="N28" s="8">
        <f t="shared" si="3"/>
        <v>25.512156102965122</v>
      </c>
      <c r="O28" s="8">
        <f t="shared" si="4"/>
        <v>50</v>
      </c>
      <c r="P28" s="8">
        <f t="shared" si="6"/>
        <v>-0.85999999999999899</v>
      </c>
    </row>
    <row r="29" spans="1:16" x14ac:dyDescent="0.2">
      <c r="A29" s="8">
        <f t="shared" si="5"/>
        <v>26.738362302320166</v>
      </c>
      <c r="B29" s="9">
        <f t="shared" si="0"/>
        <v>1.7472793987529725E-3</v>
      </c>
      <c r="C29" s="9">
        <f>_xll.qlBlackCalculatorValue($K29)</f>
        <v>1.7472793987529725E-3</v>
      </c>
      <c r="D29" s="9">
        <f>_xll.qlBlackScholesCalculatorDelta($K29)</f>
        <v>1.2243145084315857E-3</v>
      </c>
      <c r="E29" s="9">
        <f>_xll.qlBlackScholesCalculatorGamma($K29)</f>
        <v>7.5794951056349161E-4</v>
      </c>
      <c r="F29" s="9">
        <f>_xll.qlBlackScholesCalculatorTheta($K29,$L$7)</f>
        <v>-1.0837768743756129E-2</v>
      </c>
      <c r="G29" s="9">
        <f>_xll.qlBlackCalculatorVega($K29,$L$7)</f>
        <v>0.10837768743756171</v>
      </c>
      <c r="H29" s="9">
        <f>_xll.qlBlackCalculatorRho($K29,$L$7)</f>
        <v>3.0988885499677925E-2</v>
      </c>
      <c r="I29" s="9">
        <f>_xll.qlBlackCalculatorDividendRho($K29,$L$7)</f>
        <v>-3.2736164898430897E-2</v>
      </c>
      <c r="J29" s="10" t="str">
        <f>_xll.qlStrikedTypePayoff(,$A$2,$B$2,O29,$C$2)</f>
        <v>obj_0007c#0002</v>
      </c>
      <c r="K29" s="10" t="str">
        <f>_xll.qlBlackScholesCalculator2(,J29,N29,$D$2,M29*SQRT(L29),$E$2)</f>
        <v>obj_000d3#0002</v>
      </c>
      <c r="L29" s="11">
        <f t="shared" si="1"/>
        <v>1</v>
      </c>
      <c r="M29" s="12">
        <f t="shared" si="2"/>
        <v>0.2</v>
      </c>
      <c r="N29" s="8">
        <f t="shared" si="3"/>
        <v>26.738362302320166</v>
      </c>
      <c r="O29" s="8">
        <f t="shared" si="4"/>
        <v>50</v>
      </c>
      <c r="P29" s="8">
        <f t="shared" si="6"/>
        <v>-0.79999999999999893</v>
      </c>
    </row>
    <row r="30" spans="1:16" x14ac:dyDescent="0.2">
      <c r="A30" s="8">
        <f t="shared" si="5"/>
        <v>28.023504392364668</v>
      </c>
      <c r="B30" s="9">
        <f t="shared" si="0"/>
        <v>4.1093846427770614E-3</v>
      </c>
      <c r="C30" s="9">
        <f>_xll.qlBlackCalculatorValue($K30)</f>
        <v>4.1093846427770614E-3</v>
      </c>
      <c r="D30" s="9">
        <f>_xll.qlBlackScholesCalculatorDelta($K30)</f>
        <v>2.5958124616102113E-3</v>
      </c>
      <c r="E30" s="9">
        <f>_xll.qlBlackScholesCalculatorGamma($K30)</f>
        <v>1.4325934028342133E-3</v>
      </c>
      <c r="F30" s="9">
        <f>_xll.qlBlackScholesCalculatorTheta($K30,$L$7)</f>
        <v>-2.2500793291282042E-2</v>
      </c>
      <c r="G30" s="9">
        <f>_xll.qlBlackCalculatorVega($K30,$L$7)</f>
        <v>0.22500793291282051</v>
      </c>
      <c r="H30" s="9">
        <f>_xll.qlBlackCalculatorRho($K30,$L$7)</f>
        <v>6.8634377276911615E-2</v>
      </c>
      <c r="I30" s="9">
        <f>_xll.qlBlackCalculatorDividendRho($K30,$L$7)</f>
        <v>-7.2743761919688676E-2</v>
      </c>
      <c r="J30" s="10" t="str">
        <f>_xll.qlStrikedTypePayoff(,$A$2,$B$2,O30,$C$2)</f>
        <v>obj_00085#0002</v>
      </c>
      <c r="K30" s="10" t="str">
        <f>_xll.qlBlackScholesCalculator2(,J30,N30,$D$2,M30*SQRT(L30),$E$2)</f>
        <v>obj_000cb#0002</v>
      </c>
      <c r="L30" s="11">
        <f t="shared" si="1"/>
        <v>1</v>
      </c>
      <c r="M30" s="12">
        <f t="shared" si="2"/>
        <v>0.2</v>
      </c>
      <c r="N30" s="8">
        <f t="shared" si="3"/>
        <v>28.023504392364668</v>
      </c>
      <c r="O30" s="8">
        <f t="shared" si="4"/>
        <v>50</v>
      </c>
      <c r="P30" s="8">
        <f t="shared" si="6"/>
        <v>-0.73999999999999888</v>
      </c>
    </row>
    <row r="31" spans="1:16" x14ac:dyDescent="0.2">
      <c r="A31" s="8">
        <f t="shared" si="5"/>
        <v>29.370415044482275</v>
      </c>
      <c r="B31" s="9">
        <f t="shared" si="0"/>
        <v>9.2098414968787012E-3</v>
      </c>
      <c r="C31" s="9">
        <f>_xll.qlBlackCalculatorValue($K31)</f>
        <v>9.2098414968787012E-3</v>
      </c>
      <c r="D31" s="9">
        <f>_xll.qlBlackScholesCalculatorDelta($K31)</f>
        <v>5.230963631569191E-3</v>
      </c>
      <c r="E31" s="9">
        <f>_xll.qlBlackScholesCalculatorGamma($K31)</f>
        <v>2.5625865467790443E-3</v>
      </c>
      <c r="F31" s="9">
        <f>_xll.qlBlackScholesCalculatorTheta($K31,$L$7)</f>
        <v>-4.4210833735980164E-2</v>
      </c>
      <c r="G31" s="9">
        <f>_xll.qlBlackCalculatorVega($K31,$L$7)</f>
        <v>0.44210833735980337</v>
      </c>
      <c r="H31" s="9">
        <f>_xll.qlBlackCalculatorRho($K31,$L$7)</f>
        <v>0.14442573144490017</v>
      </c>
      <c r="I31" s="9">
        <f>_xll.qlBlackCalculatorDividendRho($K31,$L$7)</f>
        <v>-0.15363557294177888</v>
      </c>
      <c r="J31" s="10" t="str">
        <f>_xll.qlStrikedTypePayoff(,$A$2,$B$2,O31,$C$2)</f>
        <v>obj_000a0#0002</v>
      </c>
      <c r="K31" s="10" t="str">
        <f>_xll.qlBlackScholesCalculator2(,J31,N31,$D$2,M31*SQRT(L31),$E$2)</f>
        <v>obj_000b1#0002</v>
      </c>
      <c r="L31" s="11">
        <f t="shared" si="1"/>
        <v>1</v>
      </c>
      <c r="M31" s="12">
        <f t="shared" si="2"/>
        <v>0.2</v>
      </c>
      <c r="N31" s="8">
        <f t="shared" si="3"/>
        <v>29.370415044482275</v>
      </c>
      <c r="O31" s="8">
        <f t="shared" si="4"/>
        <v>50</v>
      </c>
      <c r="P31" s="8">
        <f t="shared" si="6"/>
        <v>-0.67999999999999883</v>
      </c>
    </row>
    <row r="32" spans="1:16" x14ac:dyDescent="0.2">
      <c r="A32" s="8">
        <f t="shared" si="5"/>
        <v>30.782063078455753</v>
      </c>
      <c r="B32" s="9">
        <f t="shared" si="0"/>
        <v>1.9682466236775775E-2</v>
      </c>
      <c r="C32" s="9">
        <f>_xll.qlBlackCalculatorValue($K32)</f>
        <v>1.9682466236775775E-2</v>
      </c>
      <c r="D32" s="9">
        <f>_xll.qlBlackScholesCalculatorDelta($K32)</f>
        <v>1.0023841408385192E-2</v>
      </c>
      <c r="E32" s="9">
        <f>_xll.qlBlackScholesCalculatorGamma($K32)</f>
        <v>4.3381749444375284E-3</v>
      </c>
      <c r="F32" s="9">
        <f>_xll.qlBlackScholesCalculatorTheta($K32,$L$7)</f>
        <v>-8.2211487264054264E-2</v>
      </c>
      <c r="G32" s="9">
        <f>_xll.qlBlackCalculatorVega($K32,$L$7)</f>
        <v>0.82211487264054206</v>
      </c>
      <c r="H32" s="9">
        <f>_xll.qlBlackCalculatorRho($K32,$L$7)</f>
        <v>0.28887205228457363</v>
      </c>
      <c r="I32" s="9">
        <f>_xll.qlBlackCalculatorDividendRho($K32,$L$7)</f>
        <v>-0.30855451852134941</v>
      </c>
      <c r="J32" s="10" t="str">
        <f>_xll.qlStrikedTypePayoff(,$A$2,$B$2,O32,$C$2)</f>
        <v>obj_0008f#0002</v>
      </c>
      <c r="K32" s="10" t="str">
        <f>_xll.qlBlackScholesCalculator2(,J32,N32,$D$2,M32*SQRT(L32),$E$2)</f>
        <v>obj_000bd#0002</v>
      </c>
      <c r="L32" s="11">
        <f t="shared" si="1"/>
        <v>1</v>
      </c>
      <c r="M32" s="12">
        <f t="shared" si="2"/>
        <v>0.2</v>
      </c>
      <c r="N32" s="8">
        <f t="shared" si="3"/>
        <v>30.782063078455753</v>
      </c>
      <c r="O32" s="8">
        <f t="shared" si="4"/>
        <v>50</v>
      </c>
      <c r="P32" s="8">
        <f t="shared" si="6"/>
        <v>-0.61999999999999877</v>
      </c>
    </row>
    <row r="33" spans="1:16" x14ac:dyDescent="0.2">
      <c r="A33" s="8">
        <f t="shared" si="5"/>
        <v>32.261560006249859</v>
      </c>
      <c r="B33" s="9">
        <f t="shared" si="0"/>
        <v>4.014083278566094E-2</v>
      </c>
      <c r="C33" s="9">
        <f>_xll.qlBlackCalculatorValue($K33)</f>
        <v>4.014083278566094E-2</v>
      </c>
      <c r="D33" s="9">
        <f>_xll.qlBlackScholesCalculatorDelta($K33)</f>
        <v>1.8276007776975439E-2</v>
      </c>
      <c r="E33" s="9">
        <f>_xll.qlBlackScholesCalculatorGamma($K33)</f>
        <v>6.9503793114849971E-3</v>
      </c>
      <c r="F33" s="9">
        <f>_xll.qlBlackScholesCalculatorTheta($K33,$L$7)</f>
        <v>-0.14468024312161235</v>
      </c>
      <c r="G33" s="9">
        <f>_xll.qlBlackCalculatorVega($K33,$L$7)</f>
        <v>1.4468024312161241</v>
      </c>
      <c r="H33" s="9">
        <f>_xll.qlBlackCalculatorRho($K33,$L$7)</f>
        <v>0.54947168878592212</v>
      </c>
      <c r="I33" s="9">
        <f>_xll.qlBlackCalculatorDividendRho($K33,$L$7)</f>
        <v>-0.58961252157158306</v>
      </c>
      <c r="J33" s="10" t="str">
        <f>_xll.qlStrikedTypePayoff(,$A$2,$B$2,O33,$C$2)</f>
        <v>obj_0009b#0002</v>
      </c>
      <c r="K33" s="10" t="str">
        <f>_xll.qlBlackScholesCalculator2(,J33,N33,$D$2,M33*SQRT(L33),$E$2)</f>
        <v>obj_000d6#0002</v>
      </c>
      <c r="L33" s="11">
        <f t="shared" si="1"/>
        <v>1</v>
      </c>
      <c r="M33" s="12">
        <f t="shared" si="2"/>
        <v>0.2</v>
      </c>
      <c r="N33" s="8">
        <f t="shared" si="3"/>
        <v>32.261560006249859</v>
      </c>
      <c r="O33" s="8">
        <f t="shared" si="4"/>
        <v>50</v>
      </c>
      <c r="P33" s="8">
        <f t="shared" si="6"/>
        <v>-0.55999999999999872</v>
      </c>
    </row>
    <row r="34" spans="1:16" x14ac:dyDescent="0.2">
      <c r="A34" s="8">
        <f t="shared" si="5"/>
        <v>33.812166890312099</v>
      </c>
      <c r="B34" s="9">
        <f t="shared" si="0"/>
        <v>7.8188242375914707E-2</v>
      </c>
      <c r="C34" s="9">
        <f>_xll.qlBlackCalculatorValue($K34)</f>
        <v>7.8188242375914707E-2</v>
      </c>
      <c r="D34" s="9">
        <f>_xll.qlBlackScholesCalculatorDelta($K34)</f>
        <v>3.1725959260439474E-2</v>
      </c>
      <c r="E34" s="9">
        <f>_xll.qlBlackScholesCalculatorGamma($K34)</f>
        <v>1.0538598917225889E-2</v>
      </c>
      <c r="F34" s="9">
        <f>_xll.qlBlackScholesCalculatorTheta($K34,$L$7)</f>
        <v>-0.24096772625416296</v>
      </c>
      <c r="G34" s="9">
        <f>_xll.qlBlackCalculatorVega($K34,$L$7)</f>
        <v>2.4096772625416278</v>
      </c>
      <c r="H34" s="9">
        <f>_xll.qlBlackCalculatorRho($K34,$L$7)</f>
        <v>0.994535186893308</v>
      </c>
      <c r="I34" s="9">
        <f>_xll.qlBlackCalculatorDividendRho($K34,$L$7)</f>
        <v>-1.0727234292692227</v>
      </c>
      <c r="J34" s="10" t="str">
        <f>_xll.qlStrikedTypePayoff(,$A$2,$B$2,O34,$C$2)</f>
        <v>obj_00097#0002</v>
      </c>
      <c r="K34" s="10" t="str">
        <f>_xll.qlBlackScholesCalculator2(,J34,N34,$D$2,M34*SQRT(L34),$E$2)</f>
        <v>obj_000ce#0002</v>
      </c>
      <c r="L34" s="11">
        <f t="shared" si="1"/>
        <v>1</v>
      </c>
      <c r="M34" s="12">
        <f t="shared" si="2"/>
        <v>0.2</v>
      </c>
      <c r="N34" s="8">
        <f t="shared" si="3"/>
        <v>33.812166890312099</v>
      </c>
      <c r="O34" s="8">
        <f t="shared" si="4"/>
        <v>50</v>
      </c>
      <c r="P34" s="8">
        <f t="shared" si="6"/>
        <v>-0.49999999999999872</v>
      </c>
    </row>
    <row r="35" spans="1:16" x14ac:dyDescent="0.2">
      <c r="A35" s="8">
        <f t="shared" si="5"/>
        <v>35.437301531508083</v>
      </c>
      <c r="B35" s="9">
        <f t="shared" si="0"/>
        <v>0.14559947465251755</v>
      </c>
      <c r="C35" s="9">
        <f>_xll.qlBlackCalculatorValue($K35)</f>
        <v>0.14559947465251755</v>
      </c>
      <c r="D35" s="9">
        <f>_xll.qlBlackScholesCalculatorDelta($K35)</f>
        <v>5.2477716212028791E-2</v>
      </c>
      <c r="E35" s="9">
        <f>_xll.qlBlackScholesCalculatorGamma($K35)</f>
        <v>1.5122729043869645E-2</v>
      </c>
      <c r="F35" s="9">
        <f>_xll.qlBlackScholesCalculatorTheta($K35,$L$7)</f>
        <v>-0.37982317035965196</v>
      </c>
      <c r="G35" s="9">
        <f>_xll.qlBlackCalculatorVega($K35,$L$7)</f>
        <v>3.798231703596521</v>
      </c>
      <c r="H35" s="9">
        <f>_xll.qlBlackCalculatorRho($K35,$L$7)</f>
        <v>1.7140691784380588</v>
      </c>
      <c r="I35" s="9">
        <f>_xll.qlBlackCalculatorDividendRho($K35,$L$7)</f>
        <v>-1.8596686530905764</v>
      </c>
      <c r="J35" s="10" t="str">
        <f>_xll.qlStrikedTypePayoff(,$A$2,$B$2,O35,$C$2)</f>
        <v>obj_0006e#0002</v>
      </c>
      <c r="K35" s="10" t="str">
        <f>_xll.qlBlackScholesCalculator2(,J35,N35,$D$2,M35*SQRT(L35),$E$2)</f>
        <v>obj_000c4#0002</v>
      </c>
      <c r="L35" s="11">
        <f t="shared" si="1"/>
        <v>1</v>
      </c>
      <c r="M35" s="12">
        <f t="shared" si="2"/>
        <v>0.2</v>
      </c>
      <c r="N35" s="8">
        <f t="shared" si="3"/>
        <v>35.437301531508083</v>
      </c>
      <c r="O35" s="8">
        <f t="shared" si="4"/>
        <v>50</v>
      </c>
      <c r="P35" s="8">
        <f t="shared" si="6"/>
        <v>-0.43999999999999873</v>
      </c>
    </row>
    <row r="36" spans="1:16" x14ac:dyDescent="0.2">
      <c r="A36" s="8">
        <f t="shared" si="5"/>
        <v>37.140546002534933</v>
      </c>
      <c r="B36" s="9">
        <f t="shared" si="0"/>
        <v>0.2594826913350472</v>
      </c>
      <c r="C36" s="9">
        <f>_xll.qlBlackCalculatorValue($K36)</f>
        <v>0.2594826913350472</v>
      </c>
      <c r="D36" s="9">
        <f>_xll.qlBlackScholesCalculatorDelta($K36)</f>
        <v>8.2786652639665004E-2</v>
      </c>
      <c r="E36" s="9">
        <f>_xll.qlBlackScholesCalculatorGamma($K36)</f>
        <v>2.0537633075214362E-2</v>
      </c>
      <c r="F36" s="9">
        <f>_xll.qlBlackScholesCalculatorTheta($K36,$L$7)</f>
        <v>-0.5666005009709173</v>
      </c>
      <c r="G36" s="9">
        <f>_xll.qlBlackCalculatorVega($K36,$L$7)</f>
        <v>5.6660050097091599</v>
      </c>
      <c r="H36" s="9">
        <f>_xll.qlBlackCalculatorRho($K36,$L$7)</f>
        <v>2.81525878942431</v>
      </c>
      <c r="I36" s="9">
        <f>_xll.qlBlackCalculatorDividendRho($K36,$L$7)</f>
        <v>-3.0747414807593572</v>
      </c>
      <c r="J36" s="10" t="str">
        <f>_xll.qlStrikedTypePayoff(,$A$2,$B$2,O36,$C$2)</f>
        <v>obj_00077#0002</v>
      </c>
      <c r="K36" s="10" t="str">
        <f>_xll.qlBlackScholesCalculator2(,J36,N36,$D$2,M36*SQRT(L36),$E$2)</f>
        <v>obj_000d8#0002</v>
      </c>
      <c r="L36" s="11">
        <f t="shared" si="1"/>
        <v>1</v>
      </c>
      <c r="M36" s="12">
        <f t="shared" si="2"/>
        <v>0.2</v>
      </c>
      <c r="N36" s="8">
        <f t="shared" si="3"/>
        <v>37.140546002534933</v>
      </c>
      <c r="O36" s="8">
        <f t="shared" si="4"/>
        <v>50</v>
      </c>
      <c r="P36" s="8">
        <f t="shared" si="6"/>
        <v>-0.37999999999999873</v>
      </c>
    </row>
    <row r="37" spans="1:16" x14ac:dyDescent="0.2">
      <c r="A37" s="8">
        <f t="shared" si="5"/>
        <v>38.925654543417785</v>
      </c>
      <c r="B37" s="9">
        <f t="shared" si="0"/>
        <v>0.44311012194424215</v>
      </c>
      <c r="C37" s="9">
        <f>_xll.qlBlackCalculatorValue($K37)</f>
        <v>0.44311012194424215</v>
      </c>
      <c r="D37" s="9">
        <f>_xll.qlBlackScholesCalculatorDelta($K37)</f>
        <v>0.12469190089870685</v>
      </c>
      <c r="E37" s="9">
        <f>_xll.qlBlackScholesCalculatorGamma($K37)</f>
        <v>2.6396329140095154E-2</v>
      </c>
      <c r="F37" s="9">
        <f>_xll.qlBlackScholesCalculatorTheta($K37,$L$7)</f>
        <v>-0.79991783288072749</v>
      </c>
      <c r="G37" s="9">
        <f>_xll.qlBlackCalculatorVega($K37,$L$7)</f>
        <v>7.9991783288072824</v>
      </c>
      <c r="H37" s="9">
        <f>_xll.qlBlackCalculatorRho($K37,$L$7)</f>
        <v>4.4106037368009172</v>
      </c>
      <c r="I37" s="9">
        <f>_xll.qlBlackCalculatorDividendRho($K37,$L$7)</f>
        <v>-4.8537138587451594</v>
      </c>
      <c r="J37" s="10" t="str">
        <f>_xll.qlStrikedTypePayoff(,$A$2,$B$2,O37,$C$2)</f>
        <v>obj_0007d#0002</v>
      </c>
      <c r="K37" s="10" t="str">
        <f>_xll.qlBlackScholesCalculator2(,J37,N37,$D$2,M37*SQRT(L37),$E$2)</f>
        <v>obj_000ab#0002</v>
      </c>
      <c r="L37" s="11">
        <f t="shared" si="1"/>
        <v>1</v>
      </c>
      <c r="M37" s="12">
        <f t="shared" si="2"/>
        <v>0.2</v>
      </c>
      <c r="N37" s="8">
        <f t="shared" si="3"/>
        <v>38.925654543417785</v>
      </c>
      <c r="O37" s="8">
        <f t="shared" si="4"/>
        <v>50</v>
      </c>
      <c r="P37" s="8">
        <f t="shared" si="6"/>
        <v>-0.31999999999999873</v>
      </c>
    </row>
    <row r="38" spans="1:16" x14ac:dyDescent="0.2">
      <c r="A38" s="8">
        <f t="shared" si="5"/>
        <v>40.796561836492252</v>
      </c>
      <c r="B38" s="9">
        <f t="shared" si="0"/>
        <v>0.72603435019224971</v>
      </c>
      <c r="C38" s="9">
        <f>_xll.qlBlackCalculatorValue($K38)</f>
        <v>0.72603435019224971</v>
      </c>
      <c r="D38" s="9">
        <f>_xll.qlBlackScholesCalculatorDelta($K38)</f>
        <v>0.17953831392223751</v>
      </c>
      <c r="E38" s="9">
        <f>_xll.qlBlackScholesCalculatorGamma($K38)</f>
        <v>3.2107730162500348E-2</v>
      </c>
      <c r="F38" s="9">
        <f>_xll.qlBlackScholesCalculatorTheta($K38,$L$7)</f>
        <v>-1.0687760872110859</v>
      </c>
      <c r="G38" s="9">
        <f>_xll.qlBlackCalculatorVega($K38,$L$7)</f>
        <v>10.687760872110864</v>
      </c>
      <c r="H38" s="9">
        <f>_xll.qlBlackCalculatorRho($K38,$L$7)</f>
        <v>6.5985115757558725</v>
      </c>
      <c r="I38" s="9">
        <f>_xll.qlBlackCalculatorDividendRho($K38,$L$7)</f>
        <v>-7.3245459259481223</v>
      </c>
      <c r="J38" s="10" t="str">
        <f>_xll.qlStrikedTypePayoff(,$A$2,$B$2,O38,$C$2)</f>
        <v>obj_00086#0002</v>
      </c>
      <c r="K38" s="10" t="str">
        <f>_xll.qlBlackScholesCalculator2(,J38,N38,$D$2,M38*SQRT(L38),$E$2)</f>
        <v>obj_000d1#0002</v>
      </c>
      <c r="L38" s="11">
        <f t="shared" si="1"/>
        <v>1</v>
      </c>
      <c r="M38" s="12">
        <f t="shared" si="2"/>
        <v>0.2</v>
      </c>
      <c r="N38" s="8">
        <f t="shared" si="3"/>
        <v>40.796561836492252</v>
      </c>
      <c r="O38" s="8">
        <f t="shared" si="4"/>
        <v>50</v>
      </c>
      <c r="P38" s="8">
        <f t="shared" si="6"/>
        <v>-0.25999999999999873</v>
      </c>
    </row>
    <row r="39" spans="1:16" x14ac:dyDescent="0.2">
      <c r="A39" s="8">
        <f t="shared" si="5"/>
        <v>42.757391679112438</v>
      </c>
      <c r="B39" s="9">
        <f t="shared" si="0"/>
        <v>1.1431429379236562</v>
      </c>
      <c r="C39" s="9">
        <f>_xll.qlBlackCalculatorValue($K39)</f>
        <v>1.1431429379236562</v>
      </c>
      <c r="D39" s="9">
        <f>_xll.qlBlackScholesCalculatorDelta($K39)</f>
        <v>0.24749157359274476</v>
      </c>
      <c r="E39" s="9">
        <f>_xll.qlBlackScholesCalculatorGamma($K39)</f>
        <v>3.6961415832979044E-2</v>
      </c>
      <c r="F39" s="9">
        <f>_xll.qlBlackScholesCalculatorTheta($K39,$L$7)</f>
        <v>-1.3514531746967318</v>
      </c>
      <c r="G39" s="9">
        <f>_xll.qlBlackCalculatorVega($K39,$L$7)</f>
        <v>13.514531746967307</v>
      </c>
      <c r="H39" s="9">
        <f>_xll.qlBlackCalculatorRho($K39,$L$7)</f>
        <v>9.438951211461216</v>
      </c>
      <c r="I39" s="9">
        <f>_xll.qlBlackCalculatorDividendRho($K39,$L$7)</f>
        <v>-10.582094149384872</v>
      </c>
      <c r="J39" s="10" t="str">
        <f>_xll.qlStrikedTypePayoff(,$A$2,$B$2,O39,$C$2)</f>
        <v>obj_000a2#0002</v>
      </c>
      <c r="K39" s="10" t="str">
        <f>_xll.qlBlackScholesCalculator2(,J39,N39,$D$2,M39*SQRT(L39),$E$2)</f>
        <v>obj_000da#0002</v>
      </c>
      <c r="L39" s="11">
        <f t="shared" si="1"/>
        <v>1</v>
      </c>
      <c r="M39" s="12">
        <f t="shared" si="2"/>
        <v>0.2</v>
      </c>
      <c r="N39" s="8">
        <f t="shared" si="3"/>
        <v>42.757391679112438</v>
      </c>
      <c r="O39" s="8">
        <f t="shared" si="4"/>
        <v>50</v>
      </c>
      <c r="P39" s="8">
        <f t="shared" si="6"/>
        <v>-0.19999999999999873</v>
      </c>
    </row>
    <row r="40" spans="1:16" x14ac:dyDescent="0.2">
      <c r="A40" s="8">
        <f t="shared" si="5"/>
        <v>44.812466073200419</v>
      </c>
      <c r="B40" s="9">
        <f t="shared" si="0"/>
        <v>1.7324853700749898</v>
      </c>
      <c r="C40" s="9">
        <f>_xll.qlBlackCalculatorValue($K40)</f>
        <v>1.7324853700749898</v>
      </c>
      <c r="D40" s="9">
        <f>_xll.qlBlackScholesCalculatorDelta($K40)</f>
        <v>0.32719091647474463</v>
      </c>
      <c r="E40" s="9">
        <f>_xll.qlBlackScholesCalculatorGamma($K40)</f>
        <v>4.0268042482489982E-2</v>
      </c>
      <c r="F40" s="9">
        <f>_xll.qlBlackScholesCalculatorTheta($K40,$L$7)</f>
        <v>-1.617291120819093</v>
      </c>
      <c r="G40" s="9">
        <f>_xll.qlBlackCalculatorVega($K40,$L$7)</f>
        <v>16.172911208190918</v>
      </c>
      <c r="H40" s="9">
        <f>_xll.qlBlackCalculatorRho($K40,$L$7)</f>
        <v>12.929746473908857</v>
      </c>
      <c r="I40" s="9">
        <f>_xll.qlBlackCalculatorDividendRho($K40,$L$7)</f>
        <v>-14.662231843983847</v>
      </c>
      <c r="J40" s="10" t="str">
        <f>_xll.qlStrikedTypePayoff(,$A$2,$B$2,O40,$C$2)</f>
        <v>obj_00090#0002</v>
      </c>
      <c r="K40" s="10" t="str">
        <f>_xll.qlBlackScholesCalculator2(,J40,N40,$D$2,M40*SQRT(L40),$E$2)</f>
        <v>obj_000b2#0002</v>
      </c>
      <c r="L40" s="11">
        <f t="shared" si="1"/>
        <v>1</v>
      </c>
      <c r="M40" s="12">
        <f t="shared" si="2"/>
        <v>0.2</v>
      </c>
      <c r="N40" s="8">
        <f t="shared" si="3"/>
        <v>44.812466073200419</v>
      </c>
      <c r="O40" s="8">
        <f t="shared" si="4"/>
        <v>50</v>
      </c>
      <c r="P40" s="8">
        <f t="shared" si="6"/>
        <v>-0.13999999999999874</v>
      </c>
    </row>
    <row r="41" spans="1:16" x14ac:dyDescent="0.2">
      <c r="A41" s="8">
        <f t="shared" si="5"/>
        <v>46.966314751672542</v>
      </c>
      <c r="B41" s="9">
        <f t="shared" ref="B41:B59" si="7">HLOOKUP($B$8,$C$8:$I$59,ROW()-7,FALSE)</f>
        <v>2.5320165546759235</v>
      </c>
      <c r="C41" s="9">
        <f>_xll.qlBlackCalculatorValue($K41)</f>
        <v>2.5320165546759235</v>
      </c>
      <c r="D41" s="9">
        <f>_xll.qlBlackScholesCalculatorDelta($K41)</f>
        <v>0.41567836341667541</v>
      </c>
      <c r="E41" s="9">
        <f>_xll.qlBlackScholesCalculatorGamma($K41)</f>
        <v>4.1518854448779473E-2</v>
      </c>
      <c r="F41" s="9">
        <f>_xll.qlBlackScholesCalculatorTheta($K41,$L$7)</f>
        <v>-1.8316746146785294</v>
      </c>
      <c r="G41" s="9">
        <f>_xll.qlBlackCalculatorVega($K41,$L$7)</f>
        <v>18.316746146785288</v>
      </c>
      <c r="H41" s="9">
        <f>_xll.qlBlackCalculatorRho($K41,$L$7)</f>
        <v>16.990864297011793</v>
      </c>
      <c r="I41" s="9">
        <f>_xll.qlBlackCalculatorDividendRho($K41,$L$7)</f>
        <v>-19.522880851687717</v>
      </c>
      <c r="J41" s="10" t="str">
        <f>_xll.qlStrikedTypePayoff(,$A$2,$B$2,O41,$C$2)</f>
        <v>obj_000a4#0002</v>
      </c>
      <c r="K41" s="10" t="str">
        <f>_xll.qlBlackScholesCalculator2(,J41,N41,$D$2,M41*SQRT(L41),$E$2)</f>
        <v>obj_000ba#0002</v>
      </c>
      <c r="L41" s="11">
        <f t="shared" ref="L41:L59" si="8">IF($A$8=L$8,0.0001+(ROW()-9)*0.1,$L$7)</f>
        <v>1</v>
      </c>
      <c r="M41" s="12">
        <f t="shared" ref="M41:M59" si="9">IF($A$8=$M$8,(ROW()-8.99)/50,$M$7)</f>
        <v>0.2</v>
      </c>
      <c r="N41" s="8">
        <f t="shared" ref="N41:N59" si="10">IF($A$8=$N$8,EXP(logFwd*(1+P41*M41*L41)),$N$7)</f>
        <v>46.966314751672542</v>
      </c>
      <c r="O41" s="8">
        <f t="shared" ref="O41:O59" si="11">IF($A$8=$O$8,EXP(logFwd*(1+P41*M41)),$O$7)</f>
        <v>50</v>
      </c>
      <c r="P41" s="8">
        <f t="shared" si="6"/>
        <v>-7.9999999999998739E-2</v>
      </c>
    </row>
    <row r="42" spans="1:16" x14ac:dyDescent="0.2">
      <c r="A42" s="8">
        <f t="shared" si="5"/>
        <v>49.223685162739756</v>
      </c>
      <c r="B42" s="9">
        <f t="shared" si="7"/>
        <v>3.575756456647472</v>
      </c>
      <c r="C42" s="9">
        <f>_xll.qlBlackCalculatorValue($K42)</f>
        <v>3.575756456647472</v>
      </c>
      <c r="D42" s="9">
        <f>_xll.qlBlackScholesCalculatorDelta($K42)</f>
        <v>0.50868011548603209</v>
      </c>
      <c r="E42" s="9">
        <f>_xll.qlBlackScholesCalculatorGamma($K42)</f>
        <v>4.0513814147530608E-2</v>
      </c>
      <c r="F42" s="9">
        <f>_xll.qlBlackScholesCalculatorTheta($K42,$L$7)</f>
        <v>-1.9632760822375617</v>
      </c>
      <c r="G42" s="9">
        <f>_xll.qlBlackCalculatorVega($K42,$L$7)</f>
        <v>19.632760822375616</v>
      </c>
      <c r="H42" s="9">
        <f>_xll.qlBlackCalculatorRho($K42,$L$7)</f>
        <v>21.463353396583084</v>
      </c>
      <c r="I42" s="9">
        <f>_xll.qlBlackCalculatorDividendRho($K42,$L$7)</f>
        <v>-25.039109853230556</v>
      </c>
      <c r="J42" s="10" t="str">
        <f>_xll.qlStrikedTypePayoff(,$A$2,$B$2,O42,$C$2)</f>
        <v>obj_00098#0002</v>
      </c>
      <c r="K42" s="10" t="str">
        <f>_xll.qlBlackScholesCalculator2(,J42,N42,$D$2,M42*SQRT(L42),$E$2)</f>
        <v>obj_000d4#0002</v>
      </c>
      <c r="L42" s="11">
        <f t="shared" si="8"/>
        <v>1</v>
      </c>
      <c r="M42" s="12">
        <f t="shared" si="9"/>
        <v>0.2</v>
      </c>
      <c r="N42" s="8">
        <f t="shared" si="10"/>
        <v>49.223685162739756</v>
      </c>
      <c r="O42" s="8">
        <f t="shared" si="11"/>
        <v>50</v>
      </c>
      <c r="P42" s="8">
        <f t="shared" ref="P42:P59" si="12">P41+$P$4</f>
        <v>-1.9999999999998741E-2</v>
      </c>
    </row>
    <row r="43" spans="1:16" x14ac:dyDescent="0.2">
      <c r="A43" s="8">
        <f t="shared" si="5"/>
        <v>51.589552934089639</v>
      </c>
      <c r="B43" s="9">
        <f t="shared" si="7"/>
        <v>4.8901350935645489</v>
      </c>
      <c r="C43" s="9">
        <f>_xll.qlBlackCalculatorValue($K43)</f>
        <v>4.8901350935645489</v>
      </c>
      <c r="D43" s="9">
        <f>_xll.qlBlackScholesCalculatorDelta($K43)</f>
        <v>0.60121024435301451</v>
      </c>
      <c r="E43" s="9">
        <f>_xll.qlBlackScholesCalculatorGamma($K43)</f>
        <v>3.7413972747486465E-2</v>
      </c>
      <c r="F43" s="9">
        <f>_xll.qlBlackScholesCalculatorTheta($K43,$L$7)</f>
        <v>-1.9915322793212231</v>
      </c>
      <c r="G43" s="9">
        <f>_xll.qlBlackCalculatorVega($K43,$L$7)</f>
        <v>19.915322793212233</v>
      </c>
      <c r="H43" s="9">
        <f>_xll.qlBlackCalculatorRho($K43,$L$7)</f>
        <v>26.126032632002268</v>
      </c>
      <c r="I43" s="9">
        <f>_xll.qlBlackCalculatorDividendRho($K43,$L$7)</f>
        <v>-31.016167725566817</v>
      </c>
      <c r="J43" s="10" t="str">
        <f>_xll.qlStrikedTypePayoff(,$A$2,$B$2,O43,$C$2)</f>
        <v>obj_0006f#0002</v>
      </c>
      <c r="K43" s="10" t="str">
        <f>_xll.qlBlackScholesCalculator2(,J43,N43,$D$2,M43*SQRT(L43),$E$2)</f>
        <v>obj_000cc#0002</v>
      </c>
      <c r="L43" s="11">
        <f t="shared" si="8"/>
        <v>1</v>
      </c>
      <c r="M43" s="12">
        <f t="shared" si="9"/>
        <v>0.2</v>
      </c>
      <c r="N43" s="8">
        <f t="shared" si="10"/>
        <v>51.589552934089639</v>
      </c>
      <c r="O43" s="8">
        <f t="shared" si="11"/>
        <v>50</v>
      </c>
      <c r="P43" s="8">
        <f t="shared" si="12"/>
        <v>4.0000000000001257E-2</v>
      </c>
    </row>
    <row r="44" spans="1:16" x14ac:dyDescent="0.2">
      <c r="A44" s="8">
        <f t="shared" si="5"/>
        <v>54.069132840014703</v>
      </c>
      <c r="B44" s="9">
        <f t="shared" si="7"/>
        <v>6.4913522016186924</v>
      </c>
      <c r="C44" s="9">
        <f>_xll.qlBlackCalculatorValue($K44)</f>
        <v>6.4913522016186924</v>
      </c>
      <c r="D44" s="9">
        <f>_xll.qlBlackScholesCalculatorDelta($K44)</f>
        <v>0.68835831400580583</v>
      </c>
      <c r="E44" s="9">
        <f>_xll.qlBlackScholesCalculatorGamma($K44)</f>
        <v>3.2699223866286389E-2</v>
      </c>
      <c r="F44" s="9">
        <f>_xll.qlBlackScholesCalculatorTheta($K44,$L$7)</f>
        <v>-1.9119047363605022</v>
      </c>
      <c r="G44" s="9">
        <f>_xll.qlBlackCalculatorVega($K44,$L$7)</f>
        <v>19.119047363605006</v>
      </c>
      <c r="H44" s="9">
        <f>_xll.qlBlackCalculatorRho($K44,$L$7)</f>
        <v>30.727584919889811</v>
      </c>
      <c r="I44" s="9">
        <f>_xll.qlBlackCalculatorDividendRho($K44,$L$7)</f>
        <v>-37.218937121508503</v>
      </c>
      <c r="J44" s="10" t="str">
        <f>_xll.qlStrikedTypePayoff(,$A$2,$B$2,O44,$C$2)</f>
        <v>obj_00073#0002</v>
      </c>
      <c r="K44" s="10" t="str">
        <f>_xll.qlBlackScholesCalculator2(,J44,N44,$D$2,M44*SQRT(L44),$E$2)</f>
        <v>obj_000bf#0002</v>
      </c>
      <c r="L44" s="11">
        <f t="shared" si="8"/>
        <v>1</v>
      </c>
      <c r="M44" s="12">
        <f t="shared" si="9"/>
        <v>0.2</v>
      </c>
      <c r="N44" s="8">
        <f t="shared" si="10"/>
        <v>54.069132840014703</v>
      </c>
      <c r="O44" s="8">
        <f t="shared" si="11"/>
        <v>50</v>
      </c>
      <c r="P44" s="8">
        <f t="shared" si="12"/>
        <v>0.10000000000000125</v>
      </c>
    </row>
    <row r="45" spans="1:16" x14ac:dyDescent="0.2">
      <c r="A45" s="8">
        <f t="shared" si="5"/>
        <v>56.667890295660428</v>
      </c>
      <c r="B45" s="9">
        <f t="shared" si="7"/>
        <v>8.3843774172505618</v>
      </c>
      <c r="C45" s="9">
        <f>_xll.qlBlackCalculatorValue($K45)</f>
        <v>8.3843774172505618</v>
      </c>
      <c r="D45" s="9">
        <f>_xll.qlBlackScholesCalculatorDelta($K45)</f>
        <v>0.76605722083494276</v>
      </c>
      <c r="E45" s="9">
        <f>_xll.qlBlackScholesCalculatorGamma($K45)</f>
        <v>2.7046681603914172E-2</v>
      </c>
      <c r="F45" s="9">
        <f>_xll.qlBlackScholesCalculatorTheta($K45,$L$7)</f>
        <v>-1.7370730127187917</v>
      </c>
      <c r="G45" s="9">
        <f>_xll.qlBlackCalculatorVega($K45,$L$7)</f>
        <v>17.37073012718789</v>
      </c>
      <c r="H45" s="9">
        <f>_xll.qlBlackCalculatorRho($K45,$L$7)</f>
        <v>35.026469133222477</v>
      </c>
      <c r="I45" s="9">
        <f>_xll.qlBlackCalculatorDividendRho($K45,$L$7)</f>
        <v>-43.410846550473039</v>
      </c>
      <c r="J45" s="10" t="str">
        <f>_xll.qlStrikedTypePayoff(,$A$2,$B$2,O45,$C$2)</f>
        <v>obj_0007e#0002</v>
      </c>
      <c r="K45" s="10" t="str">
        <f>_xll.qlBlackScholesCalculator2(,J45,N45,$D$2,M45*SQRT(L45),$E$2)</f>
        <v>obj_000bc#0002</v>
      </c>
      <c r="L45" s="11">
        <f t="shared" si="8"/>
        <v>1</v>
      </c>
      <c r="M45" s="12">
        <f t="shared" si="9"/>
        <v>0.2</v>
      </c>
      <c r="N45" s="8">
        <f t="shared" si="10"/>
        <v>56.667890295660428</v>
      </c>
      <c r="O45" s="8">
        <f t="shared" si="11"/>
        <v>50</v>
      </c>
      <c r="P45" s="8">
        <f t="shared" si="12"/>
        <v>0.16000000000000125</v>
      </c>
    </row>
    <row r="46" spans="1:16" x14ac:dyDescent="0.2">
      <c r="A46" s="8">
        <f t="shared" si="5"/>
        <v>59.391553403728132</v>
      </c>
      <c r="B46" s="9">
        <f t="shared" si="7"/>
        <v>10.563802248473927</v>
      </c>
      <c r="C46" s="9">
        <f>_xll.qlBlackCalculatorValue($K46)</f>
        <v>10.563802248473927</v>
      </c>
      <c r="D46" s="9">
        <f>_xll.qlBlackScholesCalculatorDelta($K46)</f>
        <v>0.83163466827056776</v>
      </c>
      <c r="E46" s="9">
        <f>_xll.qlBlackScholesCalculatorGamma($K46)</f>
        <v>2.1172076637494916E-2</v>
      </c>
      <c r="F46" s="9">
        <f>_xll.qlBlackScholesCalculatorTheta($K46,$L$7)</f>
        <v>-1.4936292919108438</v>
      </c>
      <c r="G46" s="9">
        <f>_xll.qlBlackCalculatorVega($K46,$L$7)</f>
        <v>14.936292919108439</v>
      </c>
      <c r="H46" s="9">
        <f>_xll.qlBlackCalculatorRho($K46,$L$7)</f>
        <v>38.828272564509241</v>
      </c>
      <c r="I46" s="9">
        <f>_xll.qlBlackCalculatorDividendRho($K46,$L$7)</f>
        <v>-49.392074812983168</v>
      </c>
      <c r="J46" s="10" t="str">
        <f>_xll.qlStrikedTypePayoff(,$A$2,$B$2,O46,$C$2)</f>
        <v>obj_00087#0002</v>
      </c>
      <c r="K46" s="10" t="str">
        <f>_xll.qlBlackScholesCalculator2(,J46,N46,$D$2,M46*SQRT(L46),$E$2)</f>
        <v>obj_000d7#0002</v>
      </c>
      <c r="L46" s="11">
        <f t="shared" si="8"/>
        <v>1</v>
      </c>
      <c r="M46" s="12">
        <f t="shared" si="9"/>
        <v>0.2</v>
      </c>
      <c r="N46" s="8">
        <f t="shared" si="10"/>
        <v>59.391553403728132</v>
      </c>
      <c r="O46" s="8">
        <f t="shared" si="11"/>
        <v>50</v>
      </c>
      <c r="P46" s="8">
        <f t="shared" si="12"/>
        <v>0.22000000000000125</v>
      </c>
    </row>
    <row r="47" spans="1:16" x14ac:dyDescent="0.2">
      <c r="A47" s="8">
        <f t="shared" si="5"/>
        <v>62.246125580186145</v>
      </c>
      <c r="B47" s="9">
        <f t="shared" si="7"/>
        <v>13.016273141148986</v>
      </c>
      <c r="C47" s="9">
        <f>_xll.qlBlackCalculatorValue($K47)</f>
        <v>13.016273141148986</v>
      </c>
      <c r="D47" s="9">
        <f>_xll.qlBlackScholesCalculatorDelta($K47)</f>
        <v>0.88402805443790922</v>
      </c>
      <c r="E47" s="9">
        <f>_xll.qlBlackScholesCalculatorGamma($K47)</f>
        <v>1.5685047966071328E-2</v>
      </c>
      <c r="F47" s="9">
        <f>_xll.qlBlackScholesCalculatorTheta($K47,$L$7)</f>
        <v>-1.2154595099425451</v>
      </c>
      <c r="G47" s="9">
        <f>_xll.qlBlackCalculatorVega($K47,$L$7)</f>
        <v>12.154595099425457</v>
      </c>
      <c r="H47" s="9">
        <f>_xll.qlBlackCalculatorRho($K47,$L$7)</f>
        <v>42.01104815180075</v>
      </c>
      <c r="I47" s="9">
        <f>_xll.qlBlackCalculatorDividendRho($K47,$L$7)</f>
        <v>-55.027321292949736</v>
      </c>
      <c r="J47" s="10" t="str">
        <f>_xll.qlStrikedTypePayoff(,$A$2,$B$2,O47,$C$2)</f>
        <v>obj_0009d#0002</v>
      </c>
      <c r="K47" s="10" t="str">
        <f>_xll.qlBlackScholesCalculator2(,J47,N47,$D$2,M47*SQRT(L47),$E$2)</f>
        <v>obj_000c5#0002</v>
      </c>
      <c r="L47" s="11">
        <f t="shared" si="8"/>
        <v>1</v>
      </c>
      <c r="M47" s="12">
        <f t="shared" si="9"/>
        <v>0.2</v>
      </c>
      <c r="N47" s="8">
        <f t="shared" si="10"/>
        <v>62.246125580186145</v>
      </c>
      <c r="O47" s="8">
        <f t="shared" si="11"/>
        <v>50</v>
      </c>
      <c r="P47" s="8">
        <f t="shared" si="12"/>
        <v>0.28000000000000125</v>
      </c>
    </row>
    <row r="48" spans="1:16" x14ac:dyDescent="0.2">
      <c r="A48" s="8">
        <f t="shared" si="5"/>
        <v>65.237898786817865</v>
      </c>
      <c r="B48" s="9">
        <f t="shared" si="7"/>
        <v>15.723857698652616</v>
      </c>
      <c r="C48" s="9">
        <f>_xll.qlBlackCalculatorValue($K48)</f>
        <v>15.723857698652616</v>
      </c>
      <c r="D48" s="9">
        <f>_xll.qlBlackScholesCalculatorDelta($K48)</f>
        <v>0.92365409250638975</v>
      </c>
      <c r="E48" s="9">
        <f>_xll.qlBlackScholesCalculatorGamma($K48)</f>
        <v>1.0997175854323027E-2</v>
      </c>
      <c r="F48" s="9">
        <f>_xll.qlBlackScholesCalculatorTheta($K48,$L$7)</f>
        <v>-0.93607596604163978</v>
      </c>
      <c r="G48" s="9">
        <f>_xll.qlBlackCalculatorVega($K48,$L$7)</f>
        <v>9.3607596604163703</v>
      </c>
      <c r="H48" s="9">
        <f>_xll.qlBlackCalculatorRho($K48,$L$7)</f>
        <v>44.533394502309342</v>
      </c>
      <c r="I48" s="9">
        <f>_xll.qlBlackCalculatorDividendRho($K48,$L$7)</f>
        <v>-60.257252200961958</v>
      </c>
      <c r="J48" s="10" t="str">
        <f>_xll.qlStrikedTypePayoff(,$A$2,$B$2,O48,$C$2)</f>
        <v>obj_00091#0002</v>
      </c>
      <c r="K48" s="10" t="str">
        <f>_xll.qlBlackScholesCalculator2(,J48,N48,$D$2,M48*SQRT(L48),$E$2)</f>
        <v>obj_000c0#0002</v>
      </c>
      <c r="L48" s="11">
        <f t="shared" si="8"/>
        <v>1</v>
      </c>
      <c r="M48" s="12">
        <f t="shared" si="9"/>
        <v>0.2</v>
      </c>
      <c r="N48" s="8">
        <f t="shared" si="10"/>
        <v>65.237898786817865</v>
      </c>
      <c r="O48" s="8">
        <f t="shared" si="11"/>
        <v>50</v>
      </c>
      <c r="P48" s="8">
        <f t="shared" si="12"/>
        <v>0.34000000000000125</v>
      </c>
    </row>
    <row r="49" spans="1:16" x14ac:dyDescent="0.2">
      <c r="A49" s="8">
        <f t="shared" si="5"/>
        <v>68.373467399773929</v>
      </c>
      <c r="B49" s="9">
        <f t="shared" si="7"/>
        <v>18.667546526707376</v>
      </c>
      <c r="C49" s="9">
        <f>_xll.qlBlackCalculatorValue($K49)</f>
        <v>18.667546526707376</v>
      </c>
      <c r="D49" s="9">
        <f>_xll.qlBlackScholesCalculatorDelta($K49)</f>
        <v>0.95202458627367348</v>
      </c>
      <c r="E49" s="9">
        <f>_xll.qlBlackScholesCalculatorGamma($K49)</f>
        <v>7.2970851400583972E-3</v>
      </c>
      <c r="F49" s="9">
        <f>_xll.qlBlackScholesCalculatorTheta($K49,$L$7)</f>
        <v>-0.68226739707850681</v>
      </c>
      <c r="G49" s="9">
        <f>_xll.qlBlackCalculatorVega($K49,$L$7)</f>
        <v>6.8226739707850612</v>
      </c>
      <c r="H49" s="9">
        <f>_xll.qlBlackCalculatorRho($K49,$L$7)</f>
        <v>46.425675486658925</v>
      </c>
      <c r="I49" s="9">
        <f>_xll.qlBlackCalculatorDividendRho($K49,$L$7)</f>
        <v>-65.093222013366301</v>
      </c>
      <c r="J49" s="10" t="str">
        <f>_xll.qlStrikedTypePayoff(,$A$2,$B$2,O49,$C$2)</f>
        <v>obj_0009f#0002</v>
      </c>
      <c r="K49" s="10" t="str">
        <f>_xll.qlBlackScholesCalculator2(,J49,N49,$D$2,M49*SQRT(L49),$E$2)</f>
        <v>obj_000ae#0002</v>
      </c>
      <c r="L49" s="11">
        <f t="shared" si="8"/>
        <v>1</v>
      </c>
      <c r="M49" s="12">
        <f t="shared" si="9"/>
        <v>0.2</v>
      </c>
      <c r="N49" s="8">
        <f t="shared" si="10"/>
        <v>68.373467399773929</v>
      </c>
      <c r="O49" s="8">
        <f t="shared" si="11"/>
        <v>50</v>
      </c>
      <c r="P49" s="8">
        <f t="shared" si="12"/>
        <v>0.40000000000000124</v>
      </c>
    </row>
    <row r="50" spans="1:16" x14ac:dyDescent="0.2">
      <c r="A50" s="8">
        <f t="shared" si="5"/>
        <v>71.659742744696999</v>
      </c>
      <c r="B50" s="9">
        <f t="shared" si="7"/>
        <v>21.830194697340964</v>
      </c>
      <c r="C50" s="9">
        <f>_xll.qlBlackCalculatorValue($K50)</f>
        <v>21.830194697340964</v>
      </c>
      <c r="D50" s="9">
        <f>_xll.qlBlackScholesCalculatorDelta($K50)</f>
        <v>0.97125262523341704</v>
      </c>
      <c r="E50" s="9">
        <f>_xll.qlBlackScholesCalculatorGamma($K50)</f>
        <v>4.5823745265975782E-3</v>
      </c>
      <c r="F50" s="9">
        <f>_xll.qlBlackScholesCalculatorTheta($K50,$L$7)</f>
        <v>-0.4706207452097651</v>
      </c>
      <c r="G50" s="9">
        <f>_xll.qlBlackCalculatorVega($K50,$L$7)</f>
        <v>4.7062074520976509</v>
      </c>
      <c r="H50" s="9">
        <f>_xll.qlBlackCalculatorRho($K50,$L$7)</f>
        <v>47.769518566997313</v>
      </c>
      <c r="I50" s="9">
        <f>_xll.qlBlackCalculatorDividendRho($K50,$L$7)</f>
        <v>-69.599713264338277</v>
      </c>
      <c r="J50" s="10" t="str">
        <f>_xll.qlStrikedTypePayoff(,$A$2,$B$2,O50,$C$2)</f>
        <v>obj_00099#0002</v>
      </c>
      <c r="K50" s="10" t="str">
        <f>_xll.qlBlackScholesCalculator2(,J50,N50,$D$2,M50*SQRT(L50),$E$2)</f>
        <v>obj_000ac#0002</v>
      </c>
      <c r="L50" s="11">
        <f t="shared" si="8"/>
        <v>1</v>
      </c>
      <c r="M50" s="12">
        <f t="shared" si="9"/>
        <v>0.2</v>
      </c>
      <c r="N50" s="8">
        <f t="shared" si="10"/>
        <v>71.659742744696999</v>
      </c>
      <c r="O50" s="8">
        <f t="shared" si="11"/>
        <v>50</v>
      </c>
      <c r="P50" s="8">
        <f t="shared" si="12"/>
        <v>0.46000000000000124</v>
      </c>
    </row>
    <row r="51" spans="1:16" x14ac:dyDescent="0.2">
      <c r="A51" s="8">
        <f t="shared" si="5"/>
        <v>75.103968330456979</v>
      </c>
      <c r="B51" s="9">
        <f t="shared" si="7"/>
        <v>25.198484960945237</v>
      </c>
      <c r="C51" s="9">
        <f>_xll.qlBlackCalculatorValue($K51)</f>
        <v>25.198484960945237</v>
      </c>
      <c r="D51" s="9">
        <f>_xll.qlBlackScholesCalculatorDelta($K51)</f>
        <v>0.9835889194039249</v>
      </c>
      <c r="E51" s="9">
        <f>_xll.qlBlackScholesCalculatorGamma($K51)</f>
        <v>2.7233576245100227E-3</v>
      </c>
      <c r="F51" s="9">
        <f>_xll.qlBlackScholesCalculatorTheta($K51,$L$7)</f>
        <v>-0.30722775035173677</v>
      </c>
      <c r="G51" s="9">
        <f>_xll.qlBlackCalculatorVega($K51,$L$7)</f>
        <v>3.0722775035173626</v>
      </c>
      <c r="H51" s="9">
        <f>_xll.qlBlackCalculatorRho($K51,$L$7)</f>
        <v>48.672946092155541</v>
      </c>
      <c r="I51" s="9">
        <f>_xll.qlBlackCalculatorDividendRho($K51,$L$7)</f>
        <v>-73.871431053100778</v>
      </c>
      <c r="J51" s="10" t="str">
        <f>_xll.qlStrikedTypePayoff(,$A$2,$B$2,O51,$C$2)</f>
        <v>obj_00070#0002</v>
      </c>
      <c r="K51" s="10" t="str">
        <f>_xll.qlBlackScholesCalculator2(,J51,N51,$D$2,M51*SQRT(L51),$E$2)</f>
        <v>obj_000db#0002</v>
      </c>
      <c r="L51" s="11">
        <f t="shared" si="8"/>
        <v>1</v>
      </c>
      <c r="M51" s="12">
        <f t="shared" si="9"/>
        <v>0.2</v>
      </c>
      <c r="N51" s="8">
        <f t="shared" si="10"/>
        <v>75.103968330456979</v>
      </c>
      <c r="O51" s="8">
        <f t="shared" si="11"/>
        <v>50</v>
      </c>
      <c r="P51" s="8">
        <f t="shared" si="12"/>
        <v>0.52000000000000124</v>
      </c>
    </row>
    <row r="52" spans="1:16" x14ac:dyDescent="0.2">
      <c r="A52" s="8">
        <f t="shared" si="5"/>
        <v>78.713735815074557</v>
      </c>
      <c r="B52" s="9">
        <f t="shared" si="7"/>
        <v>28.763823841584376</v>
      </c>
      <c r="C52" s="9">
        <f>_xll.qlBlackCalculatorValue($K52)</f>
        <v>28.763823841584376</v>
      </c>
      <c r="D52" s="9">
        <f>_xll.qlBlackScholesCalculatorDelta($K52)</f>
        <v>0.99108123048367325</v>
      </c>
      <c r="E52" s="9">
        <f>_xll.qlBlackScholesCalculatorGamma($K52)</f>
        <v>1.5317634201133419E-3</v>
      </c>
      <c r="F52" s="9">
        <f>_xll.qlBlackScholesCalculatorTheta($K52,$L$7)</f>
        <v>-0.18981159531052563</v>
      </c>
      <c r="G52" s="9">
        <f>_xll.qlBlackCalculatorVega($K52,$L$7)</f>
        <v>1.8981159531052612</v>
      </c>
      <c r="H52" s="9">
        <f>_xll.qlBlackCalculatorRho($K52,$L$7)</f>
        <v>49.247882305986501</v>
      </c>
      <c r="I52" s="9">
        <f>_xll.qlBlackCalculatorDividendRho($K52,$L$7)</f>
        <v>-78.011706147570877</v>
      </c>
      <c r="J52" s="10" t="str">
        <f>_xll.qlStrikedTypePayoff(,$A$2,$B$2,O52,$C$2)</f>
        <v>obj_00074#0002</v>
      </c>
      <c r="K52" s="10" t="str">
        <f>_xll.qlBlackScholesCalculator2(,J52,N52,$D$2,M52*SQRT(L52),$E$2)</f>
        <v>obj_000b6#0002</v>
      </c>
      <c r="L52" s="11">
        <f t="shared" si="8"/>
        <v>1</v>
      </c>
      <c r="M52" s="12">
        <f t="shared" si="9"/>
        <v>0.2</v>
      </c>
      <c r="N52" s="8">
        <f t="shared" si="10"/>
        <v>78.713735815074557</v>
      </c>
      <c r="O52" s="8">
        <f t="shared" si="11"/>
        <v>50</v>
      </c>
      <c r="P52" s="8">
        <f t="shared" si="12"/>
        <v>0.58000000000000118</v>
      </c>
    </row>
    <row r="53" spans="1:16" x14ac:dyDescent="0.2">
      <c r="A53" s="8">
        <f t="shared" si="5"/>
        <v>82.497001739024498</v>
      </c>
      <c r="B53" s="9">
        <f t="shared" si="7"/>
        <v>32.522346023158249</v>
      </c>
      <c r="C53" s="9">
        <f>_xll.qlBlackCalculatorValue($K53)</f>
        <v>32.522346023158249</v>
      </c>
      <c r="D53" s="9">
        <f>_xll.qlBlackScholesCalculatorDelta($K53)</f>
        <v>0.99538875690107997</v>
      </c>
      <c r="E53" s="9">
        <f>_xll.qlBlackScholesCalculatorGamma($K53)</f>
        <v>8.1536419670446593E-4</v>
      </c>
      <c r="F53" s="9">
        <f>_xll.qlBlackScholesCalculatorTheta($K53,$L$7)</f>
        <v>-0.11098338399663996</v>
      </c>
      <c r="G53" s="9">
        <f>_xll.qlBlackCalculatorVega($K53,$L$7)</f>
        <v>1.1098338399664023</v>
      </c>
      <c r="H53" s="9">
        <f>_xll.qlBlackCalculatorRho($K53,$L$7)</f>
        <v>49.594241985915573</v>
      </c>
      <c r="I53" s="9">
        <f>_xll.qlBlackCalculatorDividendRho($K53,$L$7)</f>
        <v>-82.116588009073823</v>
      </c>
      <c r="J53" s="10" t="str">
        <f>_xll.qlStrikedTypePayoff(,$A$2,$B$2,O53,$C$2)</f>
        <v>obj_0007f#0002</v>
      </c>
      <c r="K53" s="10" t="str">
        <f>_xll.qlBlackScholesCalculator2(,J53,N53,$D$2,M53*SQRT(L53),$E$2)</f>
        <v>obj_000b0#0002</v>
      </c>
      <c r="L53" s="11">
        <f t="shared" si="8"/>
        <v>1</v>
      </c>
      <c r="M53" s="12">
        <f t="shared" si="9"/>
        <v>0.2</v>
      </c>
      <c r="N53" s="8">
        <f t="shared" si="10"/>
        <v>82.497001739024498</v>
      </c>
      <c r="O53" s="8">
        <f t="shared" si="11"/>
        <v>50</v>
      </c>
      <c r="P53" s="8">
        <f t="shared" si="12"/>
        <v>0.64000000000000123</v>
      </c>
    </row>
    <row r="54" spans="1:16" x14ac:dyDescent="0.2">
      <c r="A54" s="8">
        <f t="shared" si="5"/>
        <v>86.462105062801939</v>
      </c>
      <c r="B54" s="9">
        <f t="shared" si="7"/>
        <v>36.47433972938753</v>
      </c>
      <c r="C54" s="9">
        <f>_xll.qlBlackCalculatorValue($K54)</f>
        <v>36.47433972938753</v>
      </c>
      <c r="D54" s="9">
        <f>_xll.qlBlackScholesCalculatorDelta($K54)</f>
        <v>0.99773309818913092</v>
      </c>
      <c r="E54" s="9">
        <f>_xll.qlBlackScholesCalculatorGamma($K54)</f>
        <v>4.1075655764877435E-4</v>
      </c>
      <c r="F54" s="9">
        <f>_xll.qlBlackScholesCalculatorTheta($K54,$L$7)</f>
        <v>-6.1413819911407923E-2</v>
      </c>
      <c r="G54" s="9">
        <f>_xll.qlBlackCalculatorVega($K54,$L$7)</f>
        <v>0.61413819911408041</v>
      </c>
      <c r="H54" s="9">
        <f>_xll.qlBlackCalculatorRho($K54,$L$7)</f>
        <v>49.791764230875991</v>
      </c>
      <c r="I54" s="9">
        <f>_xll.qlBlackCalculatorDividendRho($K54,$L$7)</f>
        <v>-86.266103960263521</v>
      </c>
      <c r="J54" s="10" t="str">
        <f>_xll.qlStrikedTypePayoff(,$A$2,$B$2,O54,$C$2)</f>
        <v>obj_00088#0002</v>
      </c>
      <c r="K54" s="10" t="str">
        <f>_xll.qlBlackScholesCalculator2(,J54,N54,$D$2,M54*SQRT(L54),$E$2)</f>
        <v>obj_000bb#0002</v>
      </c>
      <c r="L54" s="11">
        <f t="shared" si="8"/>
        <v>1</v>
      </c>
      <c r="M54" s="12">
        <f t="shared" si="9"/>
        <v>0.2</v>
      </c>
      <c r="N54" s="8">
        <f t="shared" si="10"/>
        <v>86.462105062801939</v>
      </c>
      <c r="O54" s="8">
        <f t="shared" si="11"/>
        <v>50</v>
      </c>
      <c r="P54" s="8">
        <f t="shared" si="12"/>
        <v>0.70000000000000129</v>
      </c>
    </row>
    <row r="55" spans="1:16" x14ac:dyDescent="0.2">
      <c r="A55" s="8">
        <f t="shared" si="5"/>
        <v>90.617785547407195</v>
      </c>
      <c r="B55" s="9">
        <f t="shared" si="7"/>
        <v>40.623416156732681</v>
      </c>
      <c r="C55" s="9">
        <f>_xll.qlBlackCalculatorValue($K55)</f>
        <v>40.623416156732681</v>
      </c>
      <c r="D55" s="9">
        <f>_xll.qlBlackScholesCalculatorDelta($K55)</f>
        <v>0.99894089562677879</v>
      </c>
      <c r="E55" s="9">
        <f>_xll.qlBlackScholesCalculatorGamma($K55)</f>
        <v>1.9583499389384936E-4</v>
      </c>
      <c r="F55" s="9">
        <f>_xll.qlBlackScholesCalculatorTheta($K55,$L$7)</f>
        <v>-3.2162306358549192E-2</v>
      </c>
      <c r="G55" s="9">
        <f>_xll.qlBlackCalculatorVega($K55,$L$7)</f>
        <v>0.32162306358548953</v>
      </c>
      <c r="H55" s="9">
        <f>_xll.qlBlackCalculatorRho($K55,$L$7)</f>
        <v>49.898395697709638</v>
      </c>
      <c r="I55" s="9">
        <f>_xll.qlBlackCalculatorDividendRho($K55,$L$7)</f>
        <v>-90.521811854442319</v>
      </c>
      <c r="J55" s="10" t="str">
        <f>_xll.qlStrikedTypePayoff(,$A$2,$B$2,O55,$C$2)</f>
        <v>obj_000a5#0002</v>
      </c>
      <c r="K55" s="10" t="str">
        <f>_xll.qlBlackScholesCalculator2(,J55,N55,$D$2,M55*SQRT(L55),$E$2)</f>
        <v>obj_000c7#0002</v>
      </c>
      <c r="L55" s="11">
        <f t="shared" si="8"/>
        <v>1</v>
      </c>
      <c r="M55" s="12">
        <f t="shared" si="9"/>
        <v>0.2</v>
      </c>
      <c r="N55" s="8">
        <f t="shared" si="10"/>
        <v>90.617785547407195</v>
      </c>
      <c r="O55" s="8">
        <f t="shared" si="11"/>
        <v>50</v>
      </c>
      <c r="P55" s="8">
        <f t="shared" si="12"/>
        <v>0.76000000000000134</v>
      </c>
    </row>
    <row r="56" spans="1:16" x14ac:dyDescent="0.2">
      <c r="A56" s="8">
        <f t="shared" si="5"/>
        <v>94.973203018263064</v>
      </c>
      <c r="B56" s="9">
        <f t="shared" si="7"/>
        <v>44.97567184090537</v>
      </c>
      <c r="C56" s="9">
        <f>_xll.qlBlackCalculatorValue($K56)</f>
        <v>44.97567184090537</v>
      </c>
      <c r="D56" s="9">
        <f>_xll.qlBlackScholesCalculatorDelta($K56)</f>
        <v>0.99952993912283572</v>
      </c>
      <c r="E56" s="9">
        <f>_xll.qlBlackScholesCalculatorGamma($K56)</f>
        <v>8.8362707989174481E-5</v>
      </c>
      <c r="F56" s="9">
        <f>_xll.qlBlackScholesCalculatorTheta($K56,$L$7)</f>
        <v>-1.5940472216358331E-2</v>
      </c>
      <c r="G56" s="9">
        <f>_xll.qlBlackCalculatorVega($K56,$L$7)</f>
        <v>0.15940472216358303</v>
      </c>
      <c r="H56" s="9">
        <f>_xll.qlBlackCalculatorRho($K56,$L$7)</f>
        <v>49.952887990239823</v>
      </c>
      <c r="I56" s="9">
        <f>_xll.qlBlackCalculatorDividendRho($K56,$L$7)</f>
        <v>-94.928559831145193</v>
      </c>
      <c r="J56" s="10" t="str">
        <f>_xll.qlStrikedTypePayoff(,$A$2,$B$2,O56,$C$2)</f>
        <v>obj_00092#0002</v>
      </c>
      <c r="K56" s="10" t="str">
        <f>_xll.qlBlackScholesCalculator2(,J56,N56,$D$2,M56*SQRT(L56),$E$2)</f>
        <v>obj_000c6#0002</v>
      </c>
      <c r="L56" s="11">
        <f t="shared" si="8"/>
        <v>1</v>
      </c>
      <c r="M56" s="12">
        <f t="shared" si="9"/>
        <v>0.2</v>
      </c>
      <c r="N56" s="8">
        <f t="shared" si="10"/>
        <v>94.973203018263064</v>
      </c>
      <c r="O56" s="8">
        <f t="shared" si="11"/>
        <v>50</v>
      </c>
      <c r="P56" s="8">
        <f t="shared" si="12"/>
        <v>0.82000000000000139</v>
      </c>
    </row>
    <row r="57" spans="1:16" x14ac:dyDescent="0.2">
      <c r="A57" s="8">
        <f t="shared" si="5"/>
        <v>99.537957555025429</v>
      </c>
      <c r="B57" s="9">
        <f t="shared" si="7"/>
        <v>49.538988288808419</v>
      </c>
      <c r="C57" s="9">
        <f>_xll.qlBlackCalculatorValue($K57)</f>
        <v>49.538988288808419</v>
      </c>
      <c r="D57" s="9">
        <f>_xll.qlBlackScholesCalculatorDelta($K57)</f>
        <v>0.99980188357477284</v>
      </c>
      <c r="E57" s="9">
        <f>_xll.qlBlackScholesCalculatorGamma($K57)</f>
        <v>3.7732941299918718E-5</v>
      </c>
      <c r="F57" s="9">
        <f>_xll.qlBlackScholesCalculatorTheta($K57,$L$7)</f>
        <v>-7.4770124851634588E-3</v>
      </c>
      <c r="G57" s="9">
        <f>_xll.qlBlackCalculatorVega($K57,$L$7)</f>
        <v>7.4770124851635034E-2</v>
      </c>
      <c r="H57" s="9">
        <f>_xll.qlBlackCalculatorRho($K57,$L$7)</f>
        <v>49.979249161891779</v>
      </c>
      <c r="I57" s="9">
        <f>_xll.qlBlackCalculatorDividendRho($K57,$L$7)</f>
        <v>-99.518237450700198</v>
      </c>
      <c r="J57" s="10" t="str">
        <f>_xll.qlStrikedTypePayoff(,$A$2,$B$2,O57,$C$2)</f>
        <v>obj_000a8#0002</v>
      </c>
      <c r="K57" s="10" t="str">
        <f>_xll.qlBlackScholesCalculator2(,J57,N57,$D$2,M57*SQRT(L57),$E$2)</f>
        <v>obj_000b3#0002</v>
      </c>
      <c r="L57" s="11">
        <f t="shared" si="8"/>
        <v>1</v>
      </c>
      <c r="M57" s="12">
        <f t="shared" si="9"/>
        <v>0.2</v>
      </c>
      <c r="N57" s="8">
        <f t="shared" si="10"/>
        <v>99.537957555025429</v>
      </c>
      <c r="O57" s="8">
        <f t="shared" si="11"/>
        <v>50</v>
      </c>
      <c r="P57" s="8">
        <f t="shared" si="12"/>
        <v>0.88000000000000145</v>
      </c>
    </row>
    <row r="58" spans="1:16" x14ac:dyDescent="0.2">
      <c r="A58" s="8">
        <f t="shared" si="5"/>
        <v>104.3221106517888</v>
      </c>
      <c r="B58" s="9">
        <f t="shared" si="7"/>
        <v>54.322520198286007</v>
      </c>
      <c r="C58" s="9">
        <f>_xll.qlBlackCalculatorValue($K58)</f>
        <v>54.322520198286007</v>
      </c>
      <c r="D58" s="9">
        <f>_xll.qlBlackScholesCalculatorDelta($K58)</f>
        <v>0.99992073165528328</v>
      </c>
      <c r="E58" s="9">
        <f>_xll.qlBlackScholesCalculatorGamma($K58)</f>
        <v>1.5249135657405342E-5</v>
      </c>
      <c r="F58" s="9">
        <f>_xll.qlBlackScholesCalculatorTheta($K58,$L$7)</f>
        <v>-3.3191582105217034E-3</v>
      </c>
      <c r="G58" s="9">
        <f>_xll.qlBlackCalculatorVega($K58,$L$7)</f>
        <v>3.319158210521711E-2</v>
      </c>
      <c r="H58" s="9">
        <f>_xll.qlBlackCalculatorRho($K58,$L$7)</f>
        <v>49.991321012474081</v>
      </c>
      <c r="I58" s="9">
        <f>_xll.qlBlackCalculatorDividendRho($K58,$L$7)</f>
        <v>-104.31384121076009</v>
      </c>
      <c r="J58" s="10" t="str">
        <f>_xll.qlStrikedTypePayoff(,$A$2,$B$2,O58,$C$2)</f>
        <v>obj_0009a#0002</v>
      </c>
      <c r="K58" s="10" t="str">
        <f>_xll.qlBlackScholesCalculator2(,J58,N58,$D$2,M58*SQRT(L58),$E$2)</f>
        <v>obj_000be#0002</v>
      </c>
      <c r="L58" s="11">
        <f t="shared" si="8"/>
        <v>1</v>
      </c>
      <c r="M58" s="12">
        <f t="shared" si="9"/>
        <v>0.2</v>
      </c>
      <c r="N58" s="8">
        <f t="shared" si="10"/>
        <v>104.3221106517888</v>
      </c>
      <c r="O58" s="8">
        <f t="shared" si="11"/>
        <v>50</v>
      </c>
      <c r="P58" s="8">
        <f t="shared" si="12"/>
        <v>0.9400000000000015</v>
      </c>
    </row>
    <row r="59" spans="1:16" x14ac:dyDescent="0.2">
      <c r="A59" s="8">
        <f t="shared" si="5"/>
        <v>109.336207394328</v>
      </c>
      <c r="B59" s="9">
        <f t="shared" si="7"/>
        <v>59.336362191055024</v>
      </c>
      <c r="C59" s="9">
        <f>_xll.qlBlackCalculatorValue($K59)</f>
        <v>59.336362191055024</v>
      </c>
      <c r="D59" s="9">
        <f>_xll.qlBlackScholesCalculatorDelta($K59)</f>
        <v>0.9999698996841323</v>
      </c>
      <c r="E59" s="9">
        <f>_xll.qlBlackScholesCalculatorGamma($K59)</f>
        <v>5.8323384870371403E-6</v>
      </c>
      <c r="F59" s="9">
        <f>_xll.qlBlackScholesCalculatorTheta($K59,$L$7)</f>
        <v>-1.394442872924908E-3</v>
      </c>
      <c r="G59" s="9">
        <f>_xll.qlBlackCalculatorVega($K59,$L$7)</f>
        <v>1.3944428729249003E-2</v>
      </c>
      <c r="H59" s="9">
        <f>_xll.qlBlackCalculatorRho($K59,$L$7)</f>
        <v>49.996554148894624</v>
      </c>
      <c r="I59" s="9">
        <f>_xll.qlBlackCalculatorDividendRho($K59,$L$7)</f>
        <v>-109.33291633994965</v>
      </c>
      <c r="J59" s="10" t="str">
        <f>_xll.qlStrikedTypePayoff(,$A$2,$B$2,O59,$C$2)</f>
        <v>obj_00071#0002</v>
      </c>
      <c r="K59" s="10" t="str">
        <f>_xll.qlBlackScholesCalculator2(,J59,N59,$D$2,M59*SQRT(L59),$E$2)</f>
        <v>obj_000c9#0002</v>
      </c>
      <c r="L59" s="11">
        <f t="shared" si="8"/>
        <v>1</v>
      </c>
      <c r="M59" s="12">
        <f t="shared" si="9"/>
        <v>0.2</v>
      </c>
      <c r="N59" s="8">
        <f t="shared" si="10"/>
        <v>109.336207394328</v>
      </c>
      <c r="O59" s="8">
        <f t="shared" si="11"/>
        <v>50</v>
      </c>
      <c r="P59" s="8">
        <f t="shared" si="12"/>
        <v>1.0000000000000016</v>
      </c>
    </row>
  </sheetData>
  <phoneticPr fontId="2" type="noConversion"/>
  <dataValidations count="4">
    <dataValidation type="list" allowBlank="1" showInputMessage="1" showErrorMessage="1" sqref="A2">
      <formula1>"Vanilla, PercentageStrike, AssetOrNothing, CashOrNothing, Gap, SuperShare"</formula1>
    </dataValidation>
    <dataValidation type="list" allowBlank="1" showInputMessage="1" showErrorMessage="1" sqref="B2">
      <formula1>"Call,Put"</formula1>
    </dataValidation>
    <dataValidation type="list" allowBlank="1" showInputMessage="1" showErrorMessage="1" sqref="B8">
      <formula1>$C$8:$I$8</formula1>
    </dataValidation>
    <dataValidation type="list" allowBlank="1" showInputMessage="1" showErrorMessage="1" sqref="A8">
      <formula1>$L$8:$O$8</formula1>
    </dataValidation>
  </dataValidations>
  <pageMargins left="0.75" right="0.75" top="1" bottom="1" header="0.5" footer="0.5"/>
  <pageSetup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Payoffs</vt:lpstr>
      <vt:lpstr>BlackCalculator</vt:lpstr>
      <vt:lpstr>BlackScholesCalculator</vt:lpstr>
      <vt:lpstr>Charts</vt:lpstr>
      <vt:lpstr>fwdValue</vt:lpstr>
      <vt:lpstr>logFwd</vt:lpstr>
      <vt:lpstr>SpotValue</vt:lpstr>
    </vt:vector>
  </TitlesOfParts>
  <Company>QuantLib -- http://quantlib.org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Ferdinando Ametrano</dc:creator>
  <cp:lastModifiedBy>AMETRANO FERDINANDO MARIA</cp:lastModifiedBy>
  <dcterms:created xsi:type="dcterms:W3CDTF">2006-11-11T09:16:57Z</dcterms:created>
  <dcterms:modified xsi:type="dcterms:W3CDTF">2014-05-09T18:11:12Z</dcterms:modified>
</cp:coreProperties>
</file>