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17~2020\"/>
    </mc:Choice>
  </mc:AlternateContent>
  <bookViews>
    <workbookView xWindow="0" yWindow="480" windowWidth="18765" windowHeight="10815" tabRatio="736"/>
  </bookViews>
  <sheets>
    <sheet name="1월" sheetId="24" r:id="rId1"/>
    <sheet name="2월" sheetId="34" r:id="rId2"/>
    <sheet name="3월" sheetId="31" r:id="rId3"/>
    <sheet name="4월" sheetId="32" r:id="rId4"/>
    <sheet name="5월" sheetId="30" r:id="rId5"/>
    <sheet name="6월" sheetId="33" r:id="rId6"/>
    <sheet name="7월" sheetId="29" r:id="rId7"/>
    <sheet name="8월" sheetId="27" r:id="rId8"/>
    <sheet name="9월" sheetId="28" r:id="rId9"/>
    <sheet name="10월" sheetId="25" r:id="rId10"/>
    <sheet name="11월" sheetId="26" r:id="rId11"/>
    <sheet name="12월" sheetId="13" r:id="rId12"/>
  </sheets>
  <calcPr calcId="162913"/>
</workbook>
</file>

<file path=xl/calcChain.xml><?xml version="1.0" encoding="utf-8"?>
<calcChain xmlns="http://schemas.openxmlformats.org/spreadsheetml/2006/main">
  <c r="K48" i="34" l="1"/>
  <c r="E48" i="34"/>
  <c r="D49" i="30"/>
  <c r="F48" i="30"/>
  <c r="G48" i="30"/>
  <c r="H48" i="30"/>
  <c r="I48" i="30"/>
  <c r="J48" i="30"/>
  <c r="K48" i="30"/>
  <c r="L48" i="30"/>
  <c r="M48" i="30"/>
  <c r="N48" i="30"/>
  <c r="O48" i="30"/>
  <c r="P48" i="30"/>
  <c r="Q48" i="30"/>
  <c r="R48" i="30"/>
  <c r="S48" i="30"/>
  <c r="T48" i="30"/>
  <c r="U48" i="30"/>
  <c r="E48" i="30"/>
  <c r="D49" i="24"/>
  <c r="D23" i="24"/>
  <c r="D23" i="34" l="1"/>
  <c r="E23" i="34"/>
  <c r="E49" i="34" l="1"/>
  <c r="S48" i="34"/>
  <c r="R48" i="34"/>
  <c r="R49" i="34" s="1"/>
  <c r="Q48" i="34"/>
  <c r="Q49" i="34" s="1"/>
  <c r="P48" i="34"/>
  <c r="O48" i="34"/>
  <c r="N48" i="34"/>
  <c r="N49" i="34" s="1"/>
  <c r="M48" i="34"/>
  <c r="M49" i="34" s="1"/>
  <c r="L48" i="34"/>
  <c r="J48" i="34"/>
  <c r="J49" i="34" s="1"/>
  <c r="I48" i="34"/>
  <c r="I49" i="34" s="1"/>
  <c r="H48" i="34"/>
  <c r="G48" i="34"/>
  <c r="F48" i="34"/>
  <c r="AG47" i="34"/>
  <c r="AG48" i="34" s="1"/>
  <c r="AF47" i="34"/>
  <c r="AF48" i="34" s="1"/>
  <c r="AE47" i="34"/>
  <c r="AE48" i="34" s="1"/>
  <c r="AD47" i="34"/>
  <c r="AD48" i="34" s="1"/>
  <c r="AC47" i="34"/>
  <c r="AC48" i="34" s="1"/>
  <c r="AB47" i="34"/>
  <c r="AB48" i="34" s="1"/>
  <c r="AA47" i="34"/>
  <c r="AA48" i="34" s="1"/>
  <c r="Z47" i="34"/>
  <c r="Z48" i="34" s="1"/>
  <c r="Y47" i="34"/>
  <c r="Y48" i="34" s="1"/>
  <c r="X47" i="34"/>
  <c r="X48" i="34" s="1"/>
  <c r="W47" i="34"/>
  <c r="W48" i="34" s="1"/>
  <c r="V47" i="34"/>
  <c r="V48" i="34" s="1"/>
  <c r="U47" i="34"/>
  <c r="U48" i="34" s="1"/>
  <c r="T47" i="34"/>
  <c r="T48" i="34" s="1"/>
  <c r="D47" i="34"/>
  <c r="D46" i="34"/>
  <c r="S23" i="34"/>
  <c r="S49" i="34" s="1"/>
  <c r="R23" i="34"/>
  <c r="Q23" i="34"/>
  <c r="P23" i="34"/>
  <c r="P49" i="34" s="1"/>
  <c r="O23" i="34"/>
  <c r="O49" i="34" s="1"/>
  <c r="N23" i="34"/>
  <c r="M23" i="34"/>
  <c r="L23" i="34"/>
  <c r="L49" i="34" s="1"/>
  <c r="K23" i="34"/>
  <c r="K49" i="34" s="1"/>
  <c r="J23" i="34"/>
  <c r="I23" i="34"/>
  <c r="H23" i="34"/>
  <c r="G23" i="34"/>
  <c r="F23" i="34"/>
  <c r="D22" i="34"/>
  <c r="AG21" i="34"/>
  <c r="AF21" i="34"/>
  <c r="AD21" i="34"/>
  <c r="AC21" i="34"/>
  <c r="AB21" i="34"/>
  <c r="AA21" i="34"/>
  <c r="Z21" i="34"/>
  <c r="Y21" i="34"/>
  <c r="X21" i="34"/>
  <c r="W21" i="34"/>
  <c r="V21" i="34"/>
  <c r="U21" i="34"/>
  <c r="T21" i="34"/>
  <c r="D21" i="34" s="1"/>
  <c r="AG20" i="34"/>
  <c r="AF20" i="34"/>
  <c r="AE20" i="34"/>
  <c r="AD20" i="34"/>
  <c r="AC20" i="34"/>
  <c r="AB20" i="34"/>
  <c r="AA20" i="34"/>
  <c r="Z20" i="34"/>
  <c r="Y20" i="34"/>
  <c r="X20" i="34"/>
  <c r="W20" i="34"/>
  <c r="V20" i="34"/>
  <c r="U20" i="34"/>
  <c r="T20" i="34"/>
  <c r="D20" i="34"/>
  <c r="D19" i="34"/>
  <c r="AG18" i="34"/>
  <c r="AF18" i="34"/>
  <c r="AF23" i="34" s="1"/>
  <c r="AF49" i="34" s="1"/>
  <c r="AE18" i="34"/>
  <c r="AD18" i="34"/>
  <c r="AC18" i="34"/>
  <c r="AB18" i="34"/>
  <c r="AB23" i="34" s="1"/>
  <c r="AB49" i="34" s="1"/>
  <c r="AA18" i="34"/>
  <c r="AA23" i="34" s="1"/>
  <c r="Z18" i="34"/>
  <c r="Y18" i="34"/>
  <c r="X18" i="34"/>
  <c r="X23" i="34" s="1"/>
  <c r="X49" i="34" s="1"/>
  <c r="W18" i="34"/>
  <c r="W23" i="34" s="1"/>
  <c r="V18" i="34"/>
  <c r="U18" i="34"/>
  <c r="T18" i="34"/>
  <c r="D18" i="34"/>
  <c r="D17" i="34"/>
  <c r="D16" i="34"/>
  <c r="D15" i="34"/>
  <c r="D14" i="34"/>
  <c r="D13" i="34"/>
  <c r="D12" i="34"/>
  <c r="D11" i="34"/>
  <c r="D10" i="34"/>
  <c r="AG9" i="34"/>
  <c r="AG23" i="34" s="1"/>
  <c r="AF9" i="34"/>
  <c r="AE9" i="34"/>
  <c r="AD9" i="34"/>
  <c r="AD23" i="34" s="1"/>
  <c r="AC9" i="34"/>
  <c r="AC23" i="34" s="1"/>
  <c r="AB9" i="34"/>
  <c r="AA9" i="34"/>
  <c r="Z9" i="34"/>
  <c r="Y9" i="34"/>
  <c r="Y23" i="34" s="1"/>
  <c r="X9" i="34"/>
  <c r="W9" i="34"/>
  <c r="V9" i="34"/>
  <c r="D9" i="34" s="1"/>
  <c r="U9" i="34"/>
  <c r="U23" i="34" s="1"/>
  <c r="T9" i="34"/>
  <c r="AE8" i="34"/>
  <c r="D8" i="34" s="1"/>
  <c r="Z8" i="34"/>
  <c r="V8" i="34"/>
  <c r="AE7" i="34"/>
  <c r="AE23" i="34" s="1"/>
  <c r="Z7" i="34"/>
  <c r="Z23" i="34" s="1"/>
  <c r="V7" i="34"/>
  <c r="V23" i="34" s="1"/>
  <c r="T6" i="34"/>
  <c r="D6" i="34" s="1"/>
  <c r="H49" i="34" l="1"/>
  <c r="V49" i="34"/>
  <c r="AD49" i="34"/>
  <c r="Z49" i="34"/>
  <c r="U49" i="34"/>
  <c r="Y49" i="34"/>
  <c r="AC49" i="34"/>
  <c r="AG49" i="34"/>
  <c r="AE49" i="34"/>
  <c r="W49" i="34"/>
  <c r="AA49" i="34"/>
  <c r="D48" i="34"/>
  <c r="G24" i="34"/>
  <c r="D7" i="34"/>
  <c r="T23" i="34"/>
  <c r="T49" i="34" s="1"/>
  <c r="G25" i="34"/>
  <c r="G26" i="34" s="1"/>
  <c r="G49" i="34"/>
  <c r="F49" i="34"/>
  <c r="D49" i="34" s="1"/>
  <c r="D26" i="34" l="1"/>
  <c r="G27" i="34"/>
  <c r="D25" i="34"/>
  <c r="D24" i="34"/>
  <c r="D27" i="34" l="1"/>
  <c r="G28" i="34"/>
  <c r="D28" i="34" l="1"/>
  <c r="G29" i="34"/>
  <c r="G30" i="34" s="1"/>
  <c r="D30" i="34" s="1"/>
  <c r="D29" i="34" l="1"/>
  <c r="G31" i="34"/>
  <c r="D31" i="34" s="1"/>
  <c r="G32" i="34" l="1"/>
  <c r="D32" i="34" l="1"/>
  <c r="G33" i="34"/>
  <c r="D33" i="34" l="1"/>
  <c r="G34" i="34"/>
  <c r="D34" i="34" l="1"/>
  <c r="G35" i="34"/>
  <c r="D35" i="34" l="1"/>
  <c r="G36" i="34"/>
  <c r="D36" i="34" l="1"/>
  <c r="G37" i="34"/>
  <c r="D37" i="34" l="1"/>
  <c r="G38" i="34"/>
  <c r="D38" i="34" l="1"/>
  <c r="G39" i="34"/>
  <c r="D39" i="34" l="1"/>
  <c r="G40" i="34"/>
  <c r="D40" i="34" l="1"/>
  <c r="G41" i="34"/>
  <c r="D41" i="34" l="1"/>
  <c r="G42" i="34"/>
  <c r="D42" i="34" l="1"/>
  <c r="G43" i="34"/>
  <c r="D43" i="34" l="1"/>
  <c r="G44" i="34"/>
  <c r="D44" i="34" l="1"/>
  <c r="G45" i="34"/>
  <c r="D45" i="34" s="1"/>
  <c r="AJ48" i="33" l="1"/>
  <c r="AI48" i="33"/>
  <c r="AH48" i="33"/>
  <c r="AG48" i="33"/>
  <c r="AF48" i="33"/>
  <c r="AE48" i="33"/>
  <c r="AD48" i="33"/>
  <c r="AC48" i="33"/>
  <c r="AB48" i="33"/>
  <c r="AA48" i="33"/>
  <c r="Z48" i="33"/>
  <c r="Y48" i="33"/>
  <c r="X48" i="33"/>
  <c r="W48" i="33"/>
  <c r="V48" i="33"/>
  <c r="U48" i="33"/>
  <c r="T48" i="33"/>
  <c r="S48" i="33"/>
  <c r="R48" i="33"/>
  <c r="Q48" i="33"/>
  <c r="P48" i="33"/>
  <c r="O48" i="33"/>
  <c r="N48" i="33"/>
  <c r="M48" i="33"/>
  <c r="L48" i="33"/>
  <c r="K48" i="33"/>
  <c r="J48" i="33"/>
  <c r="I48" i="33"/>
  <c r="H48" i="33"/>
  <c r="G48" i="33"/>
  <c r="F48" i="33"/>
  <c r="E48" i="33"/>
  <c r="D48" i="33"/>
  <c r="D47" i="33"/>
  <c r="D46" i="33"/>
  <c r="D45" i="33"/>
  <c r="D44" i="33"/>
  <c r="D43" i="33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AJ23" i="33"/>
  <c r="AJ49" i="33" s="1"/>
  <c r="AI23" i="33"/>
  <c r="AI49" i="33" s="1"/>
  <c r="AH23" i="33"/>
  <c r="AH49" i="33" s="1"/>
  <c r="AG23" i="33"/>
  <c r="AG49" i="33" s="1"/>
  <c r="AF23" i="33"/>
  <c r="AF49" i="33" s="1"/>
  <c r="AE23" i="33"/>
  <c r="AE49" i="33" s="1"/>
  <c r="AD23" i="33"/>
  <c r="AD49" i="33" s="1"/>
  <c r="AC23" i="33"/>
  <c r="AC49" i="33" s="1"/>
  <c r="AB23" i="33"/>
  <c r="AB49" i="33" s="1"/>
  <c r="AA23" i="33"/>
  <c r="AA49" i="33" s="1"/>
  <c r="Z23" i="33"/>
  <c r="Z49" i="33" s="1"/>
  <c r="Y23" i="33"/>
  <c r="Y49" i="33" s="1"/>
  <c r="X23" i="33"/>
  <c r="X49" i="33" s="1"/>
  <c r="W23" i="33"/>
  <c r="W49" i="33" s="1"/>
  <c r="V23" i="33"/>
  <c r="V49" i="33" s="1"/>
  <c r="U23" i="33"/>
  <c r="U49" i="33" s="1"/>
  <c r="T23" i="33"/>
  <c r="T49" i="33" s="1"/>
  <c r="S23" i="33"/>
  <c r="S49" i="33" s="1"/>
  <c r="R23" i="33"/>
  <c r="R49" i="33" s="1"/>
  <c r="Q23" i="33"/>
  <c r="Q49" i="33" s="1"/>
  <c r="P23" i="33"/>
  <c r="P49" i="33" s="1"/>
  <c r="O23" i="33"/>
  <c r="O49" i="33" s="1"/>
  <c r="N23" i="33"/>
  <c r="N49" i="33" s="1"/>
  <c r="M23" i="33"/>
  <c r="M49" i="33" s="1"/>
  <c r="L23" i="33"/>
  <c r="L49" i="33" s="1"/>
  <c r="K23" i="33"/>
  <c r="K49" i="33" s="1"/>
  <c r="J23" i="33"/>
  <c r="J49" i="33" s="1"/>
  <c r="I23" i="33"/>
  <c r="I49" i="33" s="1"/>
  <c r="H23" i="33"/>
  <c r="H49" i="33" s="1"/>
  <c r="G23" i="33"/>
  <c r="G49" i="33" s="1"/>
  <c r="F23" i="33"/>
  <c r="F49" i="33" s="1"/>
  <c r="E23" i="33"/>
  <c r="E49" i="33" s="1"/>
  <c r="D49" i="33" s="1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AG49" i="32"/>
  <c r="AC49" i="32"/>
  <c r="Y49" i="32"/>
  <c r="U49" i="32"/>
  <c r="AJ48" i="32"/>
  <c r="AI48" i="32"/>
  <c r="AH48" i="32"/>
  <c r="AG48" i="32"/>
  <c r="AF48" i="32"/>
  <c r="AE48" i="32"/>
  <c r="AD48" i="32"/>
  <c r="AC48" i="32"/>
  <c r="AB48" i="32"/>
  <c r="AA48" i="32"/>
  <c r="Z48" i="32"/>
  <c r="Y48" i="32"/>
  <c r="X48" i="32"/>
  <c r="W48" i="32"/>
  <c r="V48" i="32"/>
  <c r="U48" i="32"/>
  <c r="T48" i="32"/>
  <c r="S47" i="32"/>
  <c r="S48" i="32" s="1"/>
  <c r="R47" i="32"/>
  <c r="R48" i="32" s="1"/>
  <c r="Q47" i="32"/>
  <c r="Q48" i="32" s="1"/>
  <c r="P47" i="32"/>
  <c r="P48" i="32" s="1"/>
  <c r="O47" i="32"/>
  <c r="O48" i="32" s="1"/>
  <c r="N47" i="32"/>
  <c r="N48" i="32" s="1"/>
  <c r="M47" i="32"/>
  <c r="M48" i="32" s="1"/>
  <c r="L47" i="32"/>
  <c r="L48" i="32" s="1"/>
  <c r="K47" i="32"/>
  <c r="K48" i="32" s="1"/>
  <c r="J47" i="32"/>
  <c r="J48" i="32" s="1"/>
  <c r="I47" i="32"/>
  <c r="I48" i="32" s="1"/>
  <c r="H47" i="32"/>
  <c r="H48" i="32" s="1"/>
  <c r="G47" i="32"/>
  <c r="G48" i="32" s="1"/>
  <c r="F47" i="32"/>
  <c r="F48" i="32" s="1"/>
  <c r="E47" i="32"/>
  <c r="E48" i="32" s="1"/>
  <c r="D48" i="32" s="1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AJ23" i="32"/>
  <c r="AJ49" i="32" s="1"/>
  <c r="AI23" i="32"/>
  <c r="AI49" i="32" s="1"/>
  <c r="AH23" i="32"/>
  <c r="AH49" i="32" s="1"/>
  <c r="AG23" i="32"/>
  <c r="AF23" i="32"/>
  <c r="AF49" i="32" s="1"/>
  <c r="AE23" i="32"/>
  <c r="AE49" i="32" s="1"/>
  <c r="AD23" i="32"/>
  <c r="AD49" i="32" s="1"/>
  <c r="AC23" i="32"/>
  <c r="AB23" i="32"/>
  <c r="AB49" i="32" s="1"/>
  <c r="AA23" i="32"/>
  <c r="AA49" i="32" s="1"/>
  <c r="Z23" i="32"/>
  <c r="Z49" i="32" s="1"/>
  <c r="Y23" i="32"/>
  <c r="X23" i="32"/>
  <c r="X49" i="32" s="1"/>
  <c r="W23" i="32"/>
  <c r="W49" i="32" s="1"/>
  <c r="V23" i="32"/>
  <c r="V49" i="32" s="1"/>
  <c r="U23" i="32"/>
  <c r="T23" i="32"/>
  <c r="T49" i="32" s="1"/>
  <c r="R23" i="32"/>
  <c r="R49" i="32" s="1"/>
  <c r="N23" i="32"/>
  <c r="N49" i="32" s="1"/>
  <c r="J23" i="32"/>
  <c r="J49" i="32" s="1"/>
  <c r="F23" i="32"/>
  <c r="F49" i="32" s="1"/>
  <c r="D22" i="32"/>
  <c r="S21" i="32"/>
  <c r="R21" i="32"/>
  <c r="Q21" i="32"/>
  <c r="P21" i="32"/>
  <c r="O21" i="32"/>
  <c r="N21" i="32"/>
  <c r="M21" i="32"/>
  <c r="L21" i="32"/>
  <c r="K21" i="32"/>
  <c r="J21" i="32"/>
  <c r="I21" i="32"/>
  <c r="H21" i="32"/>
  <c r="G21" i="32"/>
  <c r="D21" i="32" s="1"/>
  <c r="F21" i="32"/>
  <c r="E21" i="32"/>
  <c r="S20" i="32"/>
  <c r="S23" i="32" s="1"/>
  <c r="S49" i="32" s="1"/>
  <c r="R20" i="32"/>
  <c r="Q20" i="32"/>
  <c r="P20" i="32"/>
  <c r="O20" i="32"/>
  <c r="N20" i="32"/>
  <c r="M20" i="32"/>
  <c r="L20" i="32"/>
  <c r="K20" i="32"/>
  <c r="J20" i="32"/>
  <c r="I20" i="32"/>
  <c r="H20" i="32"/>
  <c r="G20" i="32"/>
  <c r="D20" i="32" s="1"/>
  <c r="F20" i="32"/>
  <c r="E20" i="32"/>
  <c r="D19" i="32"/>
  <c r="S18" i="32"/>
  <c r="R18" i="32"/>
  <c r="Q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D17" i="32"/>
  <c r="D16" i="32"/>
  <c r="D15" i="32"/>
  <c r="D14" i="32"/>
  <c r="D13" i="32"/>
  <c r="D12" i="32"/>
  <c r="D11" i="32"/>
  <c r="D10" i="32"/>
  <c r="S9" i="32"/>
  <c r="R9" i="32"/>
  <c r="Q9" i="32"/>
  <c r="P9" i="32"/>
  <c r="O9" i="32"/>
  <c r="N9" i="32"/>
  <c r="M9" i="32"/>
  <c r="M23" i="32" s="1"/>
  <c r="M49" i="32" s="1"/>
  <c r="L9" i="32"/>
  <c r="L23" i="32" s="1"/>
  <c r="L49" i="32" s="1"/>
  <c r="K9" i="32"/>
  <c r="J9" i="32"/>
  <c r="I9" i="32"/>
  <c r="I23" i="32" s="1"/>
  <c r="I49" i="32" s="1"/>
  <c r="H9" i="32"/>
  <c r="H23" i="32" s="1"/>
  <c r="H49" i="32" s="1"/>
  <c r="G9" i="32"/>
  <c r="F9" i="32"/>
  <c r="E9" i="32"/>
  <c r="E23" i="32" s="1"/>
  <c r="D9" i="32"/>
  <c r="Q8" i="32"/>
  <c r="Q23" i="32" s="1"/>
  <c r="Q49" i="32" s="1"/>
  <c r="O8" i="32"/>
  <c r="K8" i="32"/>
  <c r="K23" i="32" s="1"/>
  <c r="K49" i="32" s="1"/>
  <c r="G8" i="32"/>
  <c r="D8" i="32" s="1"/>
  <c r="S7" i="32"/>
  <c r="P7" i="32"/>
  <c r="P23" i="32" s="1"/>
  <c r="P49" i="32" s="1"/>
  <c r="O7" i="32"/>
  <c r="O23" i="32" s="1"/>
  <c r="O49" i="32" s="1"/>
  <c r="K7" i="32"/>
  <c r="G7" i="32"/>
  <c r="D6" i="32"/>
  <c r="AG49" i="31"/>
  <c r="AC49" i="31"/>
  <c r="Y49" i="31"/>
  <c r="U49" i="31"/>
  <c r="AJ48" i="31"/>
  <c r="AI48" i="31"/>
  <c r="AH48" i="31"/>
  <c r="AG48" i="31"/>
  <c r="AF48" i="31"/>
  <c r="AE48" i="31"/>
  <c r="AD48" i="31"/>
  <c r="AC48" i="31"/>
  <c r="AB48" i="31"/>
  <c r="AA48" i="31"/>
  <c r="Z48" i="31"/>
  <c r="Y48" i="31"/>
  <c r="X48" i="31"/>
  <c r="W48" i="31"/>
  <c r="V48" i="31"/>
  <c r="U48" i="31"/>
  <c r="T48" i="31"/>
  <c r="S47" i="31"/>
  <c r="S48" i="31" s="1"/>
  <c r="R47" i="31"/>
  <c r="R48" i="31" s="1"/>
  <c r="Q47" i="31"/>
  <c r="Q48" i="31" s="1"/>
  <c r="P47" i="31"/>
  <c r="P48" i="31" s="1"/>
  <c r="O47" i="31"/>
  <c r="O48" i="31" s="1"/>
  <c r="N47" i="31"/>
  <c r="N48" i="31" s="1"/>
  <c r="M47" i="31"/>
  <c r="M48" i="31" s="1"/>
  <c r="L47" i="31"/>
  <c r="L48" i="31" s="1"/>
  <c r="K47" i="31"/>
  <c r="K48" i="31" s="1"/>
  <c r="J47" i="31"/>
  <c r="J48" i="31" s="1"/>
  <c r="I47" i="31"/>
  <c r="I48" i="31" s="1"/>
  <c r="H47" i="31"/>
  <c r="H48" i="31" s="1"/>
  <c r="G47" i="31"/>
  <c r="G48" i="31" s="1"/>
  <c r="F47" i="31"/>
  <c r="D47" i="31" s="1"/>
  <c r="E47" i="31"/>
  <c r="E48" i="31" s="1"/>
  <c r="D46" i="31"/>
  <c r="AJ23" i="31"/>
  <c r="AJ49" i="31" s="1"/>
  <c r="AI23" i="31"/>
  <c r="AI49" i="31" s="1"/>
  <c r="AH23" i="31"/>
  <c r="AH49" i="31" s="1"/>
  <c r="AG23" i="31"/>
  <c r="AF23" i="31"/>
  <c r="AF49" i="31" s="1"/>
  <c r="AE23" i="31"/>
  <c r="AE49" i="31" s="1"/>
  <c r="AD23" i="31"/>
  <c r="AD49" i="31" s="1"/>
  <c r="AC23" i="31"/>
  <c r="AB23" i="31"/>
  <c r="AB49" i="31" s="1"/>
  <c r="AA23" i="31"/>
  <c r="AA49" i="31" s="1"/>
  <c r="Z23" i="31"/>
  <c r="Z49" i="31" s="1"/>
  <c r="Y23" i="31"/>
  <c r="X23" i="31"/>
  <c r="X49" i="31" s="1"/>
  <c r="W23" i="31"/>
  <c r="W49" i="31" s="1"/>
  <c r="V23" i="31"/>
  <c r="V49" i="31" s="1"/>
  <c r="U23" i="31"/>
  <c r="T23" i="31"/>
  <c r="T49" i="31" s="1"/>
  <c r="P23" i="31"/>
  <c r="P49" i="31" s="1"/>
  <c r="L23" i="31"/>
  <c r="L49" i="31" s="1"/>
  <c r="D22" i="31"/>
  <c r="S21" i="31"/>
  <c r="R21" i="31"/>
  <c r="Q21" i="31"/>
  <c r="P21" i="31"/>
  <c r="O21" i="31"/>
  <c r="N21" i="31"/>
  <c r="M21" i="31"/>
  <c r="L21" i="31"/>
  <c r="K21" i="31"/>
  <c r="J21" i="31"/>
  <c r="H21" i="31"/>
  <c r="H23" i="31" s="1"/>
  <c r="H49" i="31" s="1"/>
  <c r="G21" i="31"/>
  <c r="E21" i="31"/>
  <c r="D21" i="31" s="1"/>
  <c r="S20" i="31"/>
  <c r="R20" i="31"/>
  <c r="Q20" i="31"/>
  <c r="P20" i="31"/>
  <c r="O20" i="31"/>
  <c r="N20" i="31"/>
  <c r="M20" i="31"/>
  <c r="L20" i="31"/>
  <c r="K20" i="31"/>
  <c r="J20" i="31"/>
  <c r="I20" i="31"/>
  <c r="H20" i="31"/>
  <c r="G20" i="31"/>
  <c r="E20" i="31"/>
  <c r="D19" i="31"/>
  <c r="S18" i="31"/>
  <c r="R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 s="1"/>
  <c r="D17" i="31"/>
  <c r="D16" i="31"/>
  <c r="D15" i="31"/>
  <c r="D14" i="31"/>
  <c r="D13" i="31"/>
  <c r="D12" i="31"/>
  <c r="D11" i="31"/>
  <c r="D10" i="31"/>
  <c r="S9" i="31"/>
  <c r="S23" i="31" s="1"/>
  <c r="S49" i="31" s="1"/>
  <c r="R9" i="31"/>
  <c r="Q9" i="31"/>
  <c r="Q23" i="31" s="1"/>
  <c r="P9" i="31"/>
  <c r="O9" i="31"/>
  <c r="O23" i="31" s="1"/>
  <c r="O49" i="31" s="1"/>
  <c r="N9" i="31"/>
  <c r="M9" i="31"/>
  <c r="L9" i="31"/>
  <c r="K9" i="31"/>
  <c r="K23" i="31" s="1"/>
  <c r="K49" i="31" s="1"/>
  <c r="J9" i="31"/>
  <c r="I9" i="31"/>
  <c r="H9" i="31"/>
  <c r="G9" i="31"/>
  <c r="G23" i="31" s="1"/>
  <c r="F9" i="31"/>
  <c r="F23" i="31" s="1"/>
  <c r="R8" i="31"/>
  <c r="N8" i="31"/>
  <c r="M8" i="31"/>
  <c r="J8" i="31"/>
  <c r="I8" i="31"/>
  <c r="I23" i="31" s="1"/>
  <c r="E8" i="31"/>
  <c r="D8" i="31" s="1"/>
  <c r="R7" i="31"/>
  <c r="R23" i="31" s="1"/>
  <c r="N7" i="31"/>
  <c r="N23" i="31" s="1"/>
  <c r="M7" i="31"/>
  <c r="D7" i="31" s="1"/>
  <c r="J7" i="31"/>
  <c r="J23" i="31" s="1"/>
  <c r="J49" i="31" s="1"/>
  <c r="D6" i="31"/>
  <c r="AJ48" i="30"/>
  <c r="AI48" i="30"/>
  <c r="AH48" i="30"/>
  <c r="AG48" i="30"/>
  <c r="AG49" i="30" s="1"/>
  <c r="AF48" i="30"/>
  <c r="AE48" i="30"/>
  <c r="AD48" i="30"/>
  <c r="AC48" i="30"/>
  <c r="AC49" i="30" s="1"/>
  <c r="AB48" i="30"/>
  <c r="AA48" i="30"/>
  <c r="Z48" i="30"/>
  <c r="Y48" i="30"/>
  <c r="Y49" i="30" s="1"/>
  <c r="X48" i="30"/>
  <c r="W48" i="30"/>
  <c r="V48" i="30"/>
  <c r="D48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AJ23" i="30"/>
  <c r="AJ49" i="30" s="1"/>
  <c r="AI23" i="30"/>
  <c r="AI49" i="30" s="1"/>
  <c r="AH23" i="30"/>
  <c r="AH49" i="30" s="1"/>
  <c r="AG23" i="30"/>
  <c r="AF23" i="30"/>
  <c r="AF49" i="30" s="1"/>
  <c r="AE23" i="30"/>
  <c r="AE49" i="30" s="1"/>
  <c r="AD23" i="30"/>
  <c r="AD49" i="30" s="1"/>
  <c r="AC23" i="30"/>
  <c r="AB23" i="30"/>
  <c r="AB49" i="30" s="1"/>
  <c r="AA23" i="30"/>
  <c r="AA49" i="30" s="1"/>
  <c r="Z23" i="30"/>
  <c r="Z49" i="30" s="1"/>
  <c r="Y23" i="30"/>
  <c r="X23" i="30"/>
  <c r="X49" i="30" s="1"/>
  <c r="W23" i="30"/>
  <c r="W49" i="30" s="1"/>
  <c r="V23" i="30"/>
  <c r="V49" i="30" s="1"/>
  <c r="U23" i="30"/>
  <c r="T23" i="30"/>
  <c r="D22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E21" i="30"/>
  <c r="D21" i="30" s="1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E20" i="30"/>
  <c r="D20" i="30"/>
  <c r="D19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 s="1"/>
  <c r="D17" i="30"/>
  <c r="D16" i="30"/>
  <c r="D15" i="30"/>
  <c r="D14" i="30"/>
  <c r="D13" i="30"/>
  <c r="D12" i="30"/>
  <c r="D11" i="30"/>
  <c r="S10" i="30"/>
  <c r="R10" i="30"/>
  <c r="Q10" i="30"/>
  <c r="P10" i="30"/>
  <c r="P23" i="30" s="1"/>
  <c r="O10" i="30"/>
  <c r="N10" i="30"/>
  <c r="M10" i="30"/>
  <c r="L10" i="30"/>
  <c r="J10" i="30"/>
  <c r="I10" i="30"/>
  <c r="H10" i="30"/>
  <c r="G10" i="30"/>
  <c r="F10" i="30"/>
  <c r="D10" i="30" s="1"/>
  <c r="S9" i="30"/>
  <c r="S23" i="30" s="1"/>
  <c r="R9" i="30"/>
  <c r="R23" i="30" s="1"/>
  <c r="Q9" i="30"/>
  <c r="P9" i="30"/>
  <c r="O9" i="30"/>
  <c r="N9" i="30"/>
  <c r="M9" i="30"/>
  <c r="L9" i="30"/>
  <c r="K9" i="30"/>
  <c r="J9" i="30"/>
  <c r="I9" i="30"/>
  <c r="H9" i="30"/>
  <c r="G9" i="30"/>
  <c r="F9" i="30"/>
  <c r="D9" i="30" s="1"/>
  <c r="E9" i="30"/>
  <c r="Q8" i="30"/>
  <c r="M8" i="30"/>
  <c r="D8" i="30" s="1"/>
  <c r="I8" i="30"/>
  <c r="Q7" i="30"/>
  <c r="Q23" i="30" s="1"/>
  <c r="M7" i="30"/>
  <c r="I7" i="30"/>
  <c r="E7" i="30"/>
  <c r="D7" i="30" s="1"/>
  <c r="E6" i="30"/>
  <c r="D6" i="30" s="1"/>
  <c r="AG49" i="29"/>
  <c r="AC49" i="29"/>
  <c r="Y49" i="29"/>
  <c r="U49" i="29"/>
  <c r="Q49" i="29"/>
  <c r="M49" i="29"/>
  <c r="I49" i="29"/>
  <c r="E49" i="29"/>
  <c r="AJ48" i="29"/>
  <c r="AI48" i="29"/>
  <c r="AH48" i="29"/>
  <c r="AG48" i="29"/>
  <c r="AF48" i="29"/>
  <c r="AE48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7" i="29"/>
  <c r="D46" i="29"/>
  <c r="D48" i="29" s="1"/>
  <c r="D45" i="29"/>
  <c r="D44" i="29"/>
  <c r="D43" i="29"/>
  <c r="D42" i="29"/>
  <c r="D41" i="29"/>
  <c r="D40" i="29"/>
  <c r="D39" i="29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AJ23" i="29"/>
  <c r="AJ49" i="29" s="1"/>
  <c r="AI23" i="29"/>
  <c r="AI49" i="29" s="1"/>
  <c r="AH23" i="29"/>
  <c r="AH49" i="29" s="1"/>
  <c r="AG23" i="29"/>
  <c r="AF23" i="29"/>
  <c r="AF49" i="29" s="1"/>
  <c r="AE23" i="29"/>
  <c r="AE49" i="29" s="1"/>
  <c r="AD23" i="29"/>
  <c r="AD49" i="29" s="1"/>
  <c r="AC23" i="29"/>
  <c r="AB23" i="29"/>
  <c r="AB49" i="29" s="1"/>
  <c r="AA23" i="29"/>
  <c r="AA49" i="29" s="1"/>
  <c r="Z23" i="29"/>
  <c r="Z49" i="29" s="1"/>
  <c r="Y23" i="29"/>
  <c r="X23" i="29"/>
  <c r="X49" i="29" s="1"/>
  <c r="W23" i="29"/>
  <c r="W49" i="29" s="1"/>
  <c r="V23" i="29"/>
  <c r="V49" i="29" s="1"/>
  <c r="U23" i="29"/>
  <c r="T23" i="29"/>
  <c r="T49" i="29" s="1"/>
  <c r="S23" i="29"/>
  <c r="S49" i="29" s="1"/>
  <c r="R23" i="29"/>
  <c r="R49" i="29" s="1"/>
  <c r="Q23" i="29"/>
  <c r="P23" i="29"/>
  <c r="P49" i="29" s="1"/>
  <c r="O23" i="29"/>
  <c r="O49" i="29" s="1"/>
  <c r="N23" i="29"/>
  <c r="N49" i="29" s="1"/>
  <c r="M23" i="29"/>
  <c r="L23" i="29"/>
  <c r="L49" i="29" s="1"/>
  <c r="K23" i="29"/>
  <c r="K49" i="29" s="1"/>
  <c r="J23" i="29"/>
  <c r="J49" i="29" s="1"/>
  <c r="I23" i="29"/>
  <c r="H23" i="29"/>
  <c r="H49" i="29" s="1"/>
  <c r="G23" i="29"/>
  <c r="G49" i="29" s="1"/>
  <c r="F23" i="29"/>
  <c r="F49" i="29" s="1"/>
  <c r="E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E49" i="32" l="1"/>
  <c r="D7" i="32"/>
  <c r="G23" i="32"/>
  <c r="G49" i="32" s="1"/>
  <c r="D47" i="32"/>
  <c r="I49" i="31"/>
  <c r="N49" i="31"/>
  <c r="Q49" i="31"/>
  <c r="R49" i="31"/>
  <c r="G49" i="31"/>
  <c r="E23" i="31"/>
  <c r="M23" i="31"/>
  <c r="M49" i="31" s="1"/>
  <c r="F48" i="31"/>
  <c r="D48" i="31" s="1"/>
  <c r="D9" i="31"/>
  <c r="D20" i="31"/>
  <c r="G24" i="31"/>
  <c r="G25" i="31"/>
  <c r="D23" i="30"/>
  <c r="D23" i="29"/>
  <c r="D49" i="29" s="1"/>
  <c r="D49" i="32" l="1"/>
  <c r="D23" i="32"/>
  <c r="D25" i="31"/>
  <c r="D23" i="31"/>
  <c r="E49" i="31"/>
  <c r="D49" i="31" s="1"/>
  <c r="D24" i="31"/>
  <c r="G26" i="31"/>
  <c r="G27" i="31"/>
  <c r="F49" i="31"/>
  <c r="G28" i="31" l="1"/>
  <c r="D27" i="31"/>
  <c r="D26" i="31"/>
  <c r="D28" i="31" l="1"/>
  <c r="G29" i="31"/>
  <c r="D29" i="31" l="1"/>
  <c r="G30" i="31"/>
  <c r="D30" i="31" s="1"/>
  <c r="G31" i="31" l="1"/>
  <c r="D31" i="31" l="1"/>
  <c r="G32" i="31"/>
  <c r="D32" i="31" l="1"/>
  <c r="G33" i="31"/>
  <c r="D33" i="31" l="1"/>
  <c r="G34" i="31"/>
  <c r="D34" i="31" l="1"/>
  <c r="G35" i="31"/>
  <c r="D35" i="31" l="1"/>
  <c r="G36" i="31"/>
  <c r="D36" i="31" l="1"/>
  <c r="G37" i="31"/>
  <c r="D37" i="31" l="1"/>
  <c r="G38" i="31"/>
  <c r="D38" i="31" l="1"/>
  <c r="G39" i="31"/>
  <c r="D39" i="31" l="1"/>
  <c r="G40" i="31"/>
  <c r="D40" i="31" l="1"/>
  <c r="G41" i="31"/>
  <c r="D41" i="31" l="1"/>
  <c r="G42" i="31"/>
  <c r="D42" i="31" l="1"/>
  <c r="G43" i="31"/>
  <c r="D43" i="31" l="1"/>
  <c r="G44" i="31"/>
  <c r="D44" i="31" l="1"/>
  <c r="G45" i="31"/>
  <c r="D45" i="31" s="1"/>
  <c r="P49" i="28" l="1"/>
  <c r="L49" i="28"/>
  <c r="H49" i="28"/>
  <c r="AI48" i="28"/>
  <c r="AH48" i="28"/>
  <c r="AG48" i="28"/>
  <c r="AF48" i="28"/>
  <c r="AF49" i="28" s="1"/>
  <c r="AE48" i="28"/>
  <c r="AD48" i="28"/>
  <c r="AC48" i="28"/>
  <c r="AB48" i="28"/>
  <c r="AB49" i="28" s="1"/>
  <c r="AA48" i="28"/>
  <c r="Z48" i="28"/>
  <c r="Y48" i="28"/>
  <c r="X48" i="28"/>
  <c r="X49" i="28" s="1"/>
  <c r="W48" i="28"/>
  <c r="V48" i="28"/>
  <c r="U48" i="28"/>
  <c r="T48" i="28"/>
  <c r="D48" i="28" s="1"/>
  <c r="S48" i="28"/>
  <c r="D47" i="28"/>
  <c r="D46" i="28"/>
  <c r="D45" i="28"/>
  <c r="D44" i="28"/>
  <c r="D43" i="28"/>
  <c r="D42" i="28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AI23" i="28"/>
  <c r="AI49" i="28" s="1"/>
  <c r="AH23" i="28"/>
  <c r="AH49" i="28" s="1"/>
  <c r="AG23" i="28"/>
  <c r="AG49" i="28" s="1"/>
  <c r="AF23" i="28"/>
  <c r="AE23" i="28"/>
  <c r="AE49" i="28" s="1"/>
  <c r="AD23" i="28"/>
  <c r="AD49" i="28" s="1"/>
  <c r="AC23" i="28"/>
  <c r="AC49" i="28" s="1"/>
  <c r="AB23" i="28"/>
  <c r="AA23" i="28"/>
  <c r="AA49" i="28" s="1"/>
  <c r="Z23" i="28"/>
  <c r="Z49" i="28" s="1"/>
  <c r="Y23" i="28"/>
  <c r="Y49" i="28" s="1"/>
  <c r="X23" i="28"/>
  <c r="W23" i="28"/>
  <c r="W49" i="28" s="1"/>
  <c r="V23" i="28"/>
  <c r="V49" i="28" s="1"/>
  <c r="U23" i="28"/>
  <c r="U49" i="28" s="1"/>
  <c r="T23" i="28"/>
  <c r="S23" i="28"/>
  <c r="S49" i="28" s="1"/>
  <c r="R23" i="28"/>
  <c r="R49" i="28" s="1"/>
  <c r="Q23" i="28"/>
  <c r="Q49" i="28" s="1"/>
  <c r="P23" i="28"/>
  <c r="O23" i="28"/>
  <c r="O49" i="28" s="1"/>
  <c r="N23" i="28"/>
  <c r="N49" i="28" s="1"/>
  <c r="M23" i="28"/>
  <c r="M49" i="28" s="1"/>
  <c r="L23" i="28"/>
  <c r="K23" i="28"/>
  <c r="K49" i="28" s="1"/>
  <c r="J23" i="28"/>
  <c r="J49" i="28" s="1"/>
  <c r="I23" i="28"/>
  <c r="I49" i="28" s="1"/>
  <c r="H23" i="28"/>
  <c r="G23" i="28"/>
  <c r="G49" i="28" s="1"/>
  <c r="F23" i="28"/>
  <c r="F49" i="28" s="1"/>
  <c r="E23" i="28"/>
  <c r="E49" i="28" s="1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AI48" i="27"/>
  <c r="Z48" i="27"/>
  <c r="X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AJ47" i="27"/>
  <c r="AJ48" i="27" s="1"/>
  <c r="AH47" i="27"/>
  <c r="AH48" i="27" s="1"/>
  <c r="AG47" i="27"/>
  <c r="AG48" i="27" s="1"/>
  <c r="AF47" i="27"/>
  <c r="AF48" i="27" s="1"/>
  <c r="AE47" i="27"/>
  <c r="AE48" i="27" s="1"/>
  <c r="AD47" i="27"/>
  <c r="AD48" i="27" s="1"/>
  <c r="AC47" i="27"/>
  <c r="AC48" i="27" s="1"/>
  <c r="AB47" i="27"/>
  <c r="AB48" i="27" s="1"/>
  <c r="AA47" i="27"/>
  <c r="AA48" i="27" s="1"/>
  <c r="Y47" i="27"/>
  <c r="Y48" i="27" s="1"/>
  <c r="W47" i="27"/>
  <c r="W48" i="27" s="1"/>
  <c r="V47" i="27"/>
  <c r="D47" i="27" s="1"/>
  <c r="D46" i="27"/>
  <c r="D45" i="27"/>
  <c r="D44" i="27"/>
  <c r="D43" i="27"/>
  <c r="D42" i="27"/>
  <c r="D41" i="27"/>
  <c r="D40" i="27"/>
  <c r="D39" i="27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AI23" i="27"/>
  <c r="AI49" i="27" s="1"/>
  <c r="U23" i="27"/>
  <c r="U49" i="27" s="1"/>
  <c r="T23" i="27"/>
  <c r="T49" i="27" s="1"/>
  <c r="S23" i="27"/>
  <c r="S49" i="27" s="1"/>
  <c r="R23" i="27"/>
  <c r="R49" i="27" s="1"/>
  <c r="Q23" i="27"/>
  <c r="Q49" i="27" s="1"/>
  <c r="P23" i="27"/>
  <c r="P49" i="27" s="1"/>
  <c r="O23" i="27"/>
  <c r="O49" i="27" s="1"/>
  <c r="N23" i="27"/>
  <c r="N49" i="27" s="1"/>
  <c r="M23" i="27"/>
  <c r="M49" i="27" s="1"/>
  <c r="L23" i="27"/>
  <c r="L49" i="27" s="1"/>
  <c r="K23" i="27"/>
  <c r="K49" i="27" s="1"/>
  <c r="J23" i="27"/>
  <c r="J49" i="27" s="1"/>
  <c r="I23" i="27"/>
  <c r="I49" i="27" s="1"/>
  <c r="H23" i="27"/>
  <c r="H49" i="27" s="1"/>
  <c r="G23" i="27"/>
  <c r="G49" i="27" s="1"/>
  <c r="F23" i="27"/>
  <c r="F49" i="27" s="1"/>
  <c r="E23" i="27"/>
  <c r="E49" i="27" s="1"/>
  <c r="D22" i="27"/>
  <c r="AJ21" i="27"/>
  <c r="AC21" i="27"/>
  <c r="AA21" i="27"/>
  <c r="D21" i="27" s="1"/>
  <c r="AJ20" i="27"/>
  <c r="AG20" i="27"/>
  <c r="AF20" i="27"/>
  <c r="AD20" i="27"/>
  <c r="AC20" i="27"/>
  <c r="AA20" i="27"/>
  <c r="D20" i="27"/>
  <c r="D19" i="27"/>
  <c r="AJ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D18" i="27"/>
  <c r="D17" i="27"/>
  <c r="D16" i="27"/>
  <c r="D15" i="27"/>
  <c r="D14" i="27"/>
  <c r="D13" i="27"/>
  <c r="D12" i="27"/>
  <c r="D11" i="27"/>
  <c r="D10" i="27"/>
  <c r="AJ9" i="27"/>
  <c r="AJ23" i="27" s="1"/>
  <c r="AJ49" i="27" s="1"/>
  <c r="AH9" i="27"/>
  <c r="AH23" i="27" s="1"/>
  <c r="AH49" i="27" s="1"/>
  <c r="AG9" i="27"/>
  <c r="AG23" i="27" s="1"/>
  <c r="AG49" i="27" s="1"/>
  <c r="AF9" i="27"/>
  <c r="AF23" i="27" s="1"/>
  <c r="AF49" i="27" s="1"/>
  <c r="AE9" i="27"/>
  <c r="AE23" i="27" s="1"/>
  <c r="AE49" i="27" s="1"/>
  <c r="AD9" i="27"/>
  <c r="AD23" i="27" s="1"/>
  <c r="AD49" i="27" s="1"/>
  <c r="AC9" i="27"/>
  <c r="AC23" i="27" s="1"/>
  <c r="AC49" i="27" s="1"/>
  <c r="AB9" i="27"/>
  <c r="AB23" i="27" s="1"/>
  <c r="AB49" i="27" s="1"/>
  <c r="AA9" i="27"/>
  <c r="AA23" i="27" s="1"/>
  <c r="AA49" i="27" s="1"/>
  <c r="Z9" i="27"/>
  <c r="Z23" i="27" s="1"/>
  <c r="Z49" i="27" s="1"/>
  <c r="Y9" i="27"/>
  <c r="Y23" i="27" s="1"/>
  <c r="Y49" i="27" s="1"/>
  <c r="X9" i="27"/>
  <c r="D9" i="27" s="1"/>
  <c r="W9" i="27"/>
  <c r="W23" i="27" s="1"/>
  <c r="W49" i="27" s="1"/>
  <c r="V9" i="27"/>
  <c r="V23" i="27" s="1"/>
  <c r="D8" i="27"/>
  <c r="D7" i="27"/>
  <c r="D6" i="27"/>
  <c r="D48" i="26"/>
  <c r="AH47" i="26"/>
  <c r="AG47" i="26"/>
  <c r="AF47" i="26"/>
  <c r="AE47" i="26"/>
  <c r="AD47" i="26"/>
  <c r="AC47" i="26"/>
  <c r="AB47" i="26"/>
  <c r="AA47" i="26"/>
  <c r="Z47" i="26"/>
  <c r="W47" i="26"/>
  <c r="V47" i="26"/>
  <c r="U47" i="26"/>
  <c r="T47" i="26"/>
  <c r="S47" i="26"/>
  <c r="R47" i="26"/>
  <c r="Q47" i="26"/>
  <c r="P47" i="26"/>
  <c r="O47" i="26"/>
  <c r="N47" i="26"/>
  <c r="M47" i="26"/>
  <c r="L47" i="26"/>
  <c r="K47" i="26"/>
  <c r="J47" i="26"/>
  <c r="I47" i="26"/>
  <c r="H47" i="26"/>
  <c r="G47" i="26"/>
  <c r="F47" i="26"/>
  <c r="E47" i="26"/>
  <c r="D47" i="26" s="1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AI23" i="26"/>
  <c r="X23" i="26"/>
  <c r="X49" i="26" s="1"/>
  <c r="T23" i="26"/>
  <c r="T49" i="26" s="1"/>
  <c r="P23" i="26"/>
  <c r="P49" i="26" s="1"/>
  <c r="L23" i="26"/>
  <c r="L49" i="26" s="1"/>
  <c r="H23" i="26"/>
  <c r="H49" i="26" s="1"/>
  <c r="D22" i="26"/>
  <c r="AH21" i="26"/>
  <c r="AG21" i="26"/>
  <c r="AF21" i="26"/>
  <c r="AF23" i="26" s="1"/>
  <c r="AF49" i="26" s="1"/>
  <c r="AE21" i="26"/>
  <c r="AC21" i="26"/>
  <c r="AB21" i="26"/>
  <c r="AA21" i="26"/>
  <c r="Z21" i="26"/>
  <c r="Y21" i="26"/>
  <c r="W21" i="26"/>
  <c r="V21" i="26"/>
  <c r="U21" i="26"/>
  <c r="T21" i="26"/>
  <c r="S21" i="26"/>
  <c r="R21" i="26"/>
  <c r="Q21" i="26"/>
  <c r="P21" i="26"/>
  <c r="O21" i="26"/>
  <c r="N21" i="26"/>
  <c r="M21" i="26"/>
  <c r="L21" i="26"/>
  <c r="K21" i="26"/>
  <c r="J21" i="26"/>
  <c r="I21" i="26"/>
  <c r="H21" i="26"/>
  <c r="G21" i="26"/>
  <c r="F21" i="26"/>
  <c r="D21" i="26" s="1"/>
  <c r="E21" i="26"/>
  <c r="AH20" i="26"/>
  <c r="AG20" i="26"/>
  <c r="AF20" i="26"/>
  <c r="AE20" i="26"/>
  <c r="AC20" i="26"/>
  <c r="AB20" i="26"/>
  <c r="AA20" i="26"/>
  <c r="Z20" i="26"/>
  <c r="Y20" i="26"/>
  <c r="W20" i="26"/>
  <c r="V20" i="26"/>
  <c r="U20" i="26"/>
  <c r="T20" i="26"/>
  <c r="S20" i="26"/>
  <c r="R20" i="26"/>
  <c r="Q20" i="26"/>
  <c r="P20" i="26"/>
  <c r="O20" i="26"/>
  <c r="N20" i="26"/>
  <c r="M20" i="26"/>
  <c r="L20" i="26"/>
  <c r="K20" i="26"/>
  <c r="J20" i="26"/>
  <c r="I20" i="26"/>
  <c r="H20" i="26"/>
  <c r="G20" i="26"/>
  <c r="F20" i="26"/>
  <c r="E20" i="26"/>
  <c r="D20" i="26" s="1"/>
  <c r="D19" i="26"/>
  <c r="AH18" i="26"/>
  <c r="AG18" i="26"/>
  <c r="AF18" i="26"/>
  <c r="AE18" i="26"/>
  <c r="AD18" i="26"/>
  <c r="AD23" i="26" s="1"/>
  <c r="AD49" i="26" s="1"/>
  <c r="AC18" i="26"/>
  <c r="AB18" i="26"/>
  <c r="AA18" i="26"/>
  <c r="Z18" i="26"/>
  <c r="Y18" i="26"/>
  <c r="W18" i="26"/>
  <c r="V18" i="26"/>
  <c r="U18" i="26"/>
  <c r="T18" i="26"/>
  <c r="S18" i="26"/>
  <c r="R18" i="26"/>
  <c r="Q18" i="26"/>
  <c r="P18" i="26"/>
  <c r="O18" i="26"/>
  <c r="N18" i="26"/>
  <c r="M18" i="26"/>
  <c r="L18" i="26"/>
  <c r="K18" i="26"/>
  <c r="J18" i="26"/>
  <c r="I18" i="26"/>
  <c r="H18" i="26"/>
  <c r="G18" i="26"/>
  <c r="F18" i="26"/>
  <c r="D18" i="26" s="1"/>
  <c r="E18" i="26"/>
  <c r="D17" i="26"/>
  <c r="D16" i="26"/>
  <c r="D15" i="26"/>
  <c r="D14" i="26"/>
  <c r="D13" i="26"/>
  <c r="D12" i="26"/>
  <c r="D11" i="26"/>
  <c r="D10" i="26"/>
  <c r="AH9" i="26"/>
  <c r="AH23" i="26" s="1"/>
  <c r="AH49" i="26" s="1"/>
  <c r="AG9" i="26"/>
  <c r="AG23" i="26" s="1"/>
  <c r="AG49" i="26" s="1"/>
  <c r="AF9" i="26"/>
  <c r="AE9" i="26"/>
  <c r="AE23" i="26" s="1"/>
  <c r="AE49" i="26" s="1"/>
  <c r="AC9" i="26"/>
  <c r="AC23" i="26" s="1"/>
  <c r="AC49" i="26" s="1"/>
  <c r="AB9" i="26"/>
  <c r="AB23" i="26" s="1"/>
  <c r="AB49" i="26" s="1"/>
  <c r="AA9" i="26"/>
  <c r="AA23" i="26" s="1"/>
  <c r="AA49" i="26" s="1"/>
  <c r="Z9" i="26"/>
  <c r="Z23" i="26" s="1"/>
  <c r="Z49" i="26" s="1"/>
  <c r="Y9" i="26"/>
  <c r="Y23" i="26" s="1"/>
  <c r="Y49" i="26" s="1"/>
  <c r="W9" i="26"/>
  <c r="W23" i="26" s="1"/>
  <c r="W49" i="26" s="1"/>
  <c r="V9" i="26"/>
  <c r="V23" i="26" s="1"/>
  <c r="V49" i="26" s="1"/>
  <c r="U9" i="26"/>
  <c r="U23" i="26" s="1"/>
  <c r="U49" i="26" s="1"/>
  <c r="T9" i="26"/>
  <c r="S9" i="26"/>
  <c r="S23" i="26" s="1"/>
  <c r="S49" i="26" s="1"/>
  <c r="R9" i="26"/>
  <c r="R23" i="26" s="1"/>
  <c r="R49" i="26" s="1"/>
  <c r="Q9" i="26"/>
  <c r="Q23" i="26" s="1"/>
  <c r="Q49" i="26" s="1"/>
  <c r="P9" i="26"/>
  <c r="O9" i="26"/>
  <c r="O23" i="26" s="1"/>
  <c r="O49" i="26" s="1"/>
  <c r="N9" i="26"/>
  <c r="N23" i="26" s="1"/>
  <c r="N49" i="26" s="1"/>
  <c r="M9" i="26"/>
  <c r="M23" i="26" s="1"/>
  <c r="M49" i="26" s="1"/>
  <c r="L9" i="26"/>
  <c r="K9" i="26"/>
  <c r="K23" i="26" s="1"/>
  <c r="K49" i="26" s="1"/>
  <c r="J9" i="26"/>
  <c r="J23" i="26" s="1"/>
  <c r="J49" i="26" s="1"/>
  <c r="I9" i="26"/>
  <c r="I23" i="26" s="1"/>
  <c r="I49" i="26" s="1"/>
  <c r="H9" i="26"/>
  <c r="G9" i="26"/>
  <c r="G23" i="26" s="1"/>
  <c r="G49" i="26" s="1"/>
  <c r="F9" i="26"/>
  <c r="F23" i="26" s="1"/>
  <c r="F49" i="26" s="1"/>
  <c r="E9" i="26"/>
  <c r="E23" i="26" s="1"/>
  <c r="D8" i="26"/>
  <c r="D7" i="26"/>
  <c r="D6" i="26"/>
  <c r="R49" i="25"/>
  <c r="Q49" i="25"/>
  <c r="P49" i="25"/>
  <c r="O49" i="25"/>
  <c r="N49" i="25"/>
  <c r="M49" i="25"/>
  <c r="L49" i="25"/>
  <c r="K49" i="25"/>
  <c r="J49" i="25"/>
  <c r="I49" i="25"/>
  <c r="H49" i="25"/>
  <c r="G49" i="25"/>
  <c r="F49" i="25"/>
  <c r="E49" i="25"/>
  <c r="D48" i="25"/>
  <c r="AJ47" i="25"/>
  <c r="AH47" i="25"/>
  <c r="AG47" i="25"/>
  <c r="AF47" i="25"/>
  <c r="AE47" i="25"/>
  <c r="AD47" i="25"/>
  <c r="AC47" i="25"/>
  <c r="AB47" i="25"/>
  <c r="AA47" i="25"/>
  <c r="Z47" i="25"/>
  <c r="Y47" i="25"/>
  <c r="X47" i="25"/>
  <c r="W47" i="25"/>
  <c r="V47" i="25"/>
  <c r="U47" i="25"/>
  <c r="T47" i="25"/>
  <c r="S47" i="25"/>
  <c r="R47" i="25"/>
  <c r="Q47" i="25"/>
  <c r="P47" i="25"/>
  <c r="O47" i="25"/>
  <c r="N47" i="25"/>
  <c r="M47" i="25"/>
  <c r="L47" i="25"/>
  <c r="K47" i="25"/>
  <c r="J47" i="25"/>
  <c r="I47" i="25"/>
  <c r="H47" i="25"/>
  <c r="G47" i="25"/>
  <c r="F47" i="25"/>
  <c r="D47" i="25" s="1"/>
  <c r="E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AI23" i="25"/>
  <c r="AI49" i="25" s="1"/>
  <c r="AD23" i="25"/>
  <c r="AD49" i="25" s="1"/>
  <c r="Z23" i="25"/>
  <c r="Z49" i="25" s="1"/>
  <c r="V23" i="25"/>
  <c r="V49" i="25" s="1"/>
  <c r="R23" i="25"/>
  <c r="Q23" i="25"/>
  <c r="P23" i="25"/>
  <c r="O23" i="25"/>
  <c r="N23" i="25"/>
  <c r="M23" i="25"/>
  <c r="L23" i="25"/>
  <c r="K23" i="25"/>
  <c r="J23" i="25"/>
  <c r="I23" i="25"/>
  <c r="H23" i="25"/>
  <c r="G23" i="25"/>
  <c r="F23" i="25"/>
  <c r="E23" i="25"/>
  <c r="D22" i="25"/>
  <c r="AJ21" i="25"/>
  <c r="AH21" i="25"/>
  <c r="AG21" i="25"/>
  <c r="AF21" i="25"/>
  <c r="AE21" i="25"/>
  <c r="AD21" i="25"/>
  <c r="AC21" i="25"/>
  <c r="AB21" i="25"/>
  <c r="AA21" i="25"/>
  <c r="AA23" i="25" s="1"/>
  <c r="AA49" i="25" s="1"/>
  <c r="Z21" i="25"/>
  <c r="Y21" i="25"/>
  <c r="X21" i="25"/>
  <c r="W21" i="25"/>
  <c r="W23" i="25" s="1"/>
  <c r="W49" i="25" s="1"/>
  <c r="V21" i="25"/>
  <c r="U21" i="25"/>
  <c r="T21" i="25"/>
  <c r="S21" i="25"/>
  <c r="S23" i="25" s="1"/>
  <c r="S49" i="25" s="1"/>
  <c r="R21" i="25"/>
  <c r="Q21" i="25"/>
  <c r="P21" i="25"/>
  <c r="O21" i="25"/>
  <c r="N21" i="25"/>
  <c r="M21" i="25"/>
  <c r="L21" i="25"/>
  <c r="K21" i="25"/>
  <c r="I21" i="25"/>
  <c r="H21" i="25"/>
  <c r="G21" i="25"/>
  <c r="F21" i="25"/>
  <c r="E21" i="25"/>
  <c r="D21" i="25" s="1"/>
  <c r="AJ20" i="25"/>
  <c r="AH20" i="25"/>
  <c r="AH23" i="25" s="1"/>
  <c r="AH49" i="25" s="1"/>
  <c r="AG20" i="25"/>
  <c r="AF20" i="25"/>
  <c r="AE20" i="25"/>
  <c r="AE23" i="25" s="1"/>
  <c r="AE49" i="25" s="1"/>
  <c r="AC20" i="25"/>
  <c r="AB20" i="25"/>
  <c r="AA20" i="25"/>
  <c r="Z20" i="25"/>
  <c r="Y20" i="25"/>
  <c r="X20" i="25"/>
  <c r="W20" i="25"/>
  <c r="V20" i="25"/>
  <c r="U20" i="25"/>
  <c r="T20" i="25"/>
  <c r="S20" i="25"/>
  <c r="R20" i="25"/>
  <c r="Q20" i="25"/>
  <c r="P20" i="25"/>
  <c r="O20" i="25"/>
  <c r="N20" i="25"/>
  <c r="M20" i="25"/>
  <c r="L20" i="25"/>
  <c r="K20" i="25"/>
  <c r="I20" i="25"/>
  <c r="H20" i="25"/>
  <c r="G20" i="25"/>
  <c r="F20" i="25"/>
  <c r="E20" i="25"/>
  <c r="D20" i="25"/>
  <c r="D19" i="25"/>
  <c r="AJ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T18" i="25"/>
  <c r="S18" i="25"/>
  <c r="R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 s="1"/>
  <c r="D17" i="25"/>
  <c r="D16" i="25"/>
  <c r="D15" i="25"/>
  <c r="D14" i="25"/>
  <c r="D13" i="25"/>
  <c r="D12" i="25"/>
  <c r="D11" i="25"/>
  <c r="D10" i="25"/>
  <c r="AJ9" i="25"/>
  <c r="AJ23" i="25" s="1"/>
  <c r="AJ49" i="25" s="1"/>
  <c r="AH9" i="25"/>
  <c r="AG9" i="25"/>
  <c r="AG23" i="25" s="1"/>
  <c r="AG49" i="25" s="1"/>
  <c r="AF9" i="25"/>
  <c r="AF23" i="25" s="1"/>
  <c r="AF49" i="25" s="1"/>
  <c r="AE9" i="25"/>
  <c r="AD9" i="25"/>
  <c r="AC9" i="25"/>
  <c r="AC23" i="25" s="1"/>
  <c r="AC49" i="25" s="1"/>
  <c r="AB9" i="25"/>
  <c r="AB23" i="25" s="1"/>
  <c r="AB49" i="25" s="1"/>
  <c r="AA9" i="25"/>
  <c r="Z9" i="25"/>
  <c r="Y9" i="25"/>
  <c r="Y23" i="25" s="1"/>
  <c r="Y49" i="25" s="1"/>
  <c r="X9" i="25"/>
  <c r="X23" i="25" s="1"/>
  <c r="X49" i="25" s="1"/>
  <c r="W9" i="25"/>
  <c r="V9" i="25"/>
  <c r="U9" i="25"/>
  <c r="U23" i="25" s="1"/>
  <c r="U49" i="25" s="1"/>
  <c r="T9" i="25"/>
  <c r="T23" i="25" s="1"/>
  <c r="T49" i="25" s="1"/>
  <c r="S9" i="25"/>
  <c r="R9" i="25"/>
  <c r="Q9" i="25"/>
  <c r="P9" i="25"/>
  <c r="O9" i="25"/>
  <c r="N9" i="25"/>
  <c r="M9" i="25"/>
  <c r="L9" i="25"/>
  <c r="K9" i="25"/>
  <c r="J9" i="25"/>
  <c r="I9" i="25"/>
  <c r="H9" i="25"/>
  <c r="G9" i="25"/>
  <c r="F9" i="25"/>
  <c r="E9" i="25"/>
  <c r="D9" i="25" s="1"/>
  <c r="D8" i="25"/>
  <c r="D7" i="25"/>
  <c r="D6" i="25"/>
  <c r="T49" i="28" l="1"/>
  <c r="D23" i="28"/>
  <c r="D49" i="28" s="1"/>
  <c r="D23" i="27"/>
  <c r="V48" i="27"/>
  <c r="D48" i="27" s="1"/>
  <c r="X23" i="27"/>
  <c r="X49" i="27" s="1"/>
  <c r="E49" i="26"/>
  <c r="D49" i="26" s="1"/>
  <c r="D23" i="26"/>
  <c r="D9" i="26"/>
  <c r="D23" i="25"/>
  <c r="D49" i="25"/>
  <c r="V49" i="27" l="1"/>
  <c r="D49" i="27" s="1"/>
  <c r="F48" i="13" l="1"/>
  <c r="G48" i="13"/>
  <c r="H48" i="13"/>
  <c r="I48" i="13"/>
  <c r="J48" i="13"/>
  <c r="K48" i="13"/>
  <c r="L48" i="13"/>
  <c r="M48" i="13"/>
  <c r="N48" i="13"/>
  <c r="O48" i="13"/>
  <c r="P48" i="13"/>
  <c r="Q48" i="13"/>
  <c r="R48" i="13"/>
  <c r="W48" i="13"/>
  <c r="Y48" i="13"/>
  <c r="Z48" i="13"/>
  <c r="AA48" i="13"/>
  <c r="AB48" i="13"/>
  <c r="AC48" i="13"/>
  <c r="AD48" i="13"/>
  <c r="AE48" i="13"/>
  <c r="AF48" i="13"/>
  <c r="AH48" i="13"/>
  <c r="AI48" i="13"/>
  <c r="AJ48" i="13"/>
  <c r="E48" i="13"/>
  <c r="J23" i="13"/>
  <c r="J49" i="13" s="1"/>
  <c r="N23" i="13"/>
  <c r="N49" i="13" s="1"/>
  <c r="AA23" i="13"/>
  <c r="AA49" i="13" s="1"/>
  <c r="AB23" i="13"/>
  <c r="AB49" i="13" s="1"/>
  <c r="AH23" i="13"/>
  <c r="AH49" i="13" s="1"/>
  <c r="AI23" i="13"/>
  <c r="AI49" i="13" s="1"/>
  <c r="AJ23" i="13"/>
  <c r="AJ49" i="13" s="1"/>
  <c r="L23" i="13"/>
  <c r="L49" i="13" s="1"/>
  <c r="R47" i="13"/>
  <c r="R21" i="13"/>
  <c r="R20" i="13"/>
  <c r="R18" i="13"/>
  <c r="R9" i="13"/>
  <c r="S47" i="13"/>
  <c r="S48" i="13" s="1"/>
  <c r="S21" i="13"/>
  <c r="S20" i="13"/>
  <c r="S18" i="13"/>
  <c r="S9" i="13"/>
  <c r="T47" i="13"/>
  <c r="T48" i="13" s="1"/>
  <c r="T18" i="13"/>
  <c r="T9" i="13"/>
  <c r="T23" i="13" s="1"/>
  <c r="T49" i="13" s="1"/>
  <c r="U47" i="13"/>
  <c r="U48" i="13" s="1"/>
  <c r="U21" i="13"/>
  <c r="U20" i="13"/>
  <c r="U18" i="13"/>
  <c r="U9" i="13"/>
  <c r="V47" i="13"/>
  <c r="V48" i="13" s="1"/>
  <c r="V20" i="13"/>
  <c r="V18" i="13"/>
  <c r="V9" i="13"/>
  <c r="W18" i="13"/>
  <c r="W9" i="13"/>
  <c r="W23" i="13" s="1"/>
  <c r="W49" i="13" s="1"/>
  <c r="X47" i="13"/>
  <c r="X48" i="13" s="1"/>
  <c r="X21" i="13"/>
  <c r="X20" i="13"/>
  <c r="X18" i="13"/>
  <c r="X9" i="13"/>
  <c r="Y20" i="13"/>
  <c r="Y18" i="13"/>
  <c r="Y9" i="13"/>
  <c r="Z18" i="13"/>
  <c r="Z23" i="13" s="1"/>
  <c r="Z49" i="13" s="1"/>
  <c r="AG47" i="13"/>
  <c r="AG48" i="13" s="1"/>
  <c r="AG20" i="13"/>
  <c r="AG18" i="13"/>
  <c r="AG9" i="13"/>
  <c r="AF18" i="13"/>
  <c r="AF9" i="13"/>
  <c r="AF23" i="13" s="1"/>
  <c r="AF49" i="13" s="1"/>
  <c r="AE18" i="13"/>
  <c r="AE23" i="13" s="1"/>
  <c r="AE49" i="13" s="1"/>
  <c r="AD47" i="13"/>
  <c r="AD21" i="13"/>
  <c r="AD20" i="13"/>
  <c r="AD18" i="13"/>
  <c r="AD9" i="13"/>
  <c r="AC20" i="13"/>
  <c r="AC18" i="13"/>
  <c r="AC9" i="13"/>
  <c r="Q18" i="13"/>
  <c r="Q9" i="13"/>
  <c r="Q8" i="13"/>
  <c r="P18" i="13"/>
  <c r="P23" i="13" s="1"/>
  <c r="P49" i="13" s="1"/>
  <c r="O9" i="13"/>
  <c r="O23" i="13" s="1"/>
  <c r="O49" i="13" s="1"/>
  <c r="M18" i="13"/>
  <c r="M9" i="13"/>
  <c r="K9" i="13"/>
  <c r="K23" i="13" s="1"/>
  <c r="K49" i="13" s="1"/>
  <c r="I18" i="13"/>
  <c r="I9" i="13"/>
  <c r="I23" i="13" s="1"/>
  <c r="I49" i="13" s="1"/>
  <c r="H18" i="13"/>
  <c r="H23" i="13" s="1"/>
  <c r="H49" i="13" s="1"/>
  <c r="H9" i="13"/>
  <c r="G20" i="13"/>
  <c r="G18" i="13"/>
  <c r="G9" i="13"/>
  <c r="G23" i="13" s="1"/>
  <c r="G49" i="13" s="1"/>
  <c r="F18" i="13"/>
  <c r="F9" i="13"/>
  <c r="F23" i="13" s="1"/>
  <c r="F49" i="13" s="1"/>
  <c r="E20" i="13"/>
  <c r="E18" i="13"/>
  <c r="E9" i="13"/>
  <c r="E23" i="13" s="1"/>
  <c r="E49" i="13" s="1"/>
  <c r="M23" i="13" l="1"/>
  <c r="M49" i="13" s="1"/>
  <c r="Q23" i="13"/>
  <c r="Q49" i="13" s="1"/>
  <c r="V23" i="13"/>
  <c r="V49" i="13" s="1"/>
  <c r="U23" i="13"/>
  <c r="U49" i="13" s="1"/>
  <c r="S23" i="13"/>
  <c r="S49" i="13" s="1"/>
  <c r="AD23" i="13"/>
  <c r="AD49" i="13" s="1"/>
  <c r="AG23" i="13"/>
  <c r="AG49" i="13" s="1"/>
  <c r="X23" i="13"/>
  <c r="X49" i="13" s="1"/>
  <c r="R23" i="13"/>
  <c r="R49" i="13" s="1"/>
  <c r="AC23" i="13"/>
  <c r="AC49" i="13" s="1"/>
  <c r="Y23" i="13"/>
  <c r="Y49" i="13" s="1"/>
  <c r="E24" i="24" l="1"/>
  <c r="D47" i="24" l="1"/>
  <c r="D46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47" i="13"/>
  <c r="D46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48" i="24" l="1"/>
  <c r="D23" i="13"/>
  <c r="D48" i="13"/>
  <c r="D24" i="13"/>
  <c r="D49" i="13" l="1"/>
  <c r="D24" i="24"/>
  <c r="D25" i="13"/>
  <c r="D25" i="24" l="1"/>
  <c r="D26" i="13"/>
  <c r="D27" i="24" l="1"/>
  <c r="D26" i="24"/>
  <c r="D28" i="24" l="1"/>
  <c r="D29" i="24"/>
  <c r="D28" i="13"/>
  <c r="D29" i="13"/>
  <c r="D27" i="13"/>
  <c r="D30" i="24" l="1"/>
  <c r="D30" i="13"/>
  <c r="D31" i="13"/>
  <c r="D31" i="24" l="1"/>
  <c r="D32" i="13"/>
  <c r="D32" i="24" l="1"/>
  <c r="D33" i="13"/>
  <c r="D33" i="24" l="1"/>
  <c r="D34" i="13"/>
  <c r="D34" i="24" l="1"/>
  <c r="D35" i="13"/>
  <c r="D35" i="24" l="1"/>
  <c r="D36" i="24" l="1"/>
  <c r="D36" i="13"/>
  <c r="D37" i="24" l="1"/>
  <c r="D37" i="13"/>
  <c r="D38" i="24" l="1"/>
  <c r="D38" i="13"/>
  <c r="D39" i="24" l="1"/>
  <c r="D40" i="13"/>
  <c r="D39" i="13"/>
  <c r="D41" i="13" l="1"/>
  <c r="D40" i="24"/>
  <c r="D42" i="13" l="1"/>
  <c r="D41" i="24"/>
  <c r="D43" i="13"/>
  <c r="D42" i="24" l="1"/>
  <c r="D44" i="13"/>
  <c r="D43" i="24" l="1"/>
  <c r="D45" i="13"/>
  <c r="D44" i="24" l="1"/>
  <c r="D45" i="24"/>
</calcChain>
</file>

<file path=xl/sharedStrings.xml><?xml version="1.0" encoding="utf-8"?>
<sst xmlns="http://schemas.openxmlformats.org/spreadsheetml/2006/main" count="1408" uniqueCount="117">
  <si>
    <t>여의도</t>
  </si>
  <si>
    <t>자전거</t>
  </si>
  <si>
    <t>인라인</t>
  </si>
  <si>
    <t>수영장</t>
  </si>
  <si>
    <t>합계</t>
  </si>
  <si>
    <t>총계</t>
  </si>
  <si>
    <t>월계</t>
  </si>
  <si>
    <t>반포</t>
  </si>
  <si>
    <t>롤러장</t>
  </si>
  <si>
    <t>난지</t>
  </si>
  <si>
    <t>외국인</t>
  </si>
  <si>
    <t>자벌레</t>
  </si>
  <si>
    <t>골프장</t>
  </si>
  <si>
    <t>뚝섬</t>
  </si>
  <si>
    <t>캠핑장</t>
  </si>
  <si>
    <t>세빛섬</t>
  </si>
  <si>
    <t>마라톤</t>
  </si>
  <si>
    <t>장미원</t>
  </si>
  <si>
    <t>야구장</t>
  </si>
  <si>
    <t>요        일</t>
  </si>
  <si>
    <t>일        자</t>
  </si>
  <si>
    <t>여의도 시민요트나루</t>
  </si>
  <si>
    <t>일반이용자(아침)</t>
  </si>
  <si>
    <t>일반이용자(낮)</t>
  </si>
  <si>
    <t>특화공원신규 시설물</t>
  </si>
  <si>
    <t>일반이용자(저녁)</t>
  </si>
  <si>
    <t>계절,녹음수광장</t>
  </si>
  <si>
    <t>눈썰매장</t>
  </si>
  <si>
    <t>서울색공원</t>
  </si>
  <si>
    <t>운동시설</t>
  </si>
  <si>
    <t>갈대숲탐방로</t>
  </si>
  <si>
    <t>오늘날씨</t>
  </si>
  <si>
    <t>기본시설</t>
  </si>
  <si>
    <t>달빛무지개분수</t>
  </si>
  <si>
    <t>X게임장</t>
  </si>
  <si>
    <t>천상계단</t>
  </si>
  <si>
    <t>주요행사</t>
  </si>
  <si>
    <t>키즈랜드</t>
  </si>
  <si>
    <t>너른들판테라스</t>
  </si>
  <si>
    <t>수상시설</t>
  </si>
  <si>
    <t>물빛광장</t>
  </si>
  <si>
    <t>멀티프라자</t>
  </si>
  <si>
    <t>평화공원브릿지</t>
  </si>
  <si>
    <t>중앙연결브릿지</t>
  </si>
  <si>
    <t>여의도샛강</t>
  </si>
  <si>
    <t>전망쉼터</t>
  </si>
  <si>
    <t>강변물놀이장</t>
  </si>
  <si>
    <t>자전거공원</t>
  </si>
  <si>
    <t>피아노물길</t>
  </si>
  <si>
    <t>거울분수</t>
  </si>
  <si>
    <t>음악분수</t>
  </si>
  <si>
    <t>수상무대</t>
  </si>
  <si>
    <t>수변프롬나드</t>
  </si>
  <si>
    <t>반포 한강공원 12월 이용자 현황</t>
    <phoneticPr fontId="22" type="noConversion"/>
  </si>
  <si>
    <t>반포 한강공원 1월 이용자 현황</t>
    <phoneticPr fontId="22" type="noConversion"/>
  </si>
  <si>
    <t>화</t>
    <phoneticPr fontId="22" type="noConversion"/>
  </si>
  <si>
    <t>수</t>
    <phoneticPr fontId="22" type="noConversion"/>
  </si>
  <si>
    <t>목</t>
    <phoneticPr fontId="22" type="noConversion"/>
  </si>
  <si>
    <t>금</t>
    <phoneticPr fontId="22" type="noConversion"/>
  </si>
  <si>
    <t>토</t>
    <phoneticPr fontId="22" type="noConversion"/>
  </si>
  <si>
    <t>일</t>
    <phoneticPr fontId="22" type="noConversion"/>
  </si>
  <si>
    <t>월</t>
    <phoneticPr fontId="22" type="noConversion"/>
  </si>
  <si>
    <t>목</t>
    <phoneticPr fontId="22" type="noConversion"/>
  </si>
  <si>
    <t>목</t>
    <phoneticPr fontId="22" type="noConversion"/>
  </si>
  <si>
    <t>금</t>
    <phoneticPr fontId="22" type="noConversion"/>
  </si>
  <si>
    <t>맑음</t>
    <phoneticPr fontId="22" type="noConversion"/>
  </si>
  <si>
    <t>맑음/흐림</t>
    <phoneticPr fontId="22" type="noConversion"/>
  </si>
  <si>
    <t>맑음</t>
    <phoneticPr fontId="22" type="noConversion"/>
  </si>
  <si>
    <t>흐림/비</t>
    <phoneticPr fontId="22" type="noConversion"/>
  </si>
  <si>
    <t>흐림/비</t>
    <phoneticPr fontId="22" type="noConversion"/>
  </si>
  <si>
    <t>맑음/흐림</t>
    <phoneticPr fontId="22" type="noConversion"/>
  </si>
  <si>
    <t>맑음</t>
    <phoneticPr fontId="22" type="noConversion"/>
  </si>
  <si>
    <t>눈/흐림</t>
    <phoneticPr fontId="22" type="noConversion"/>
  </si>
  <si>
    <t>흐림/맑음</t>
    <phoneticPr fontId="22" type="noConversion"/>
  </si>
  <si>
    <t>총계</t>
    <phoneticPr fontId="22" type="noConversion"/>
  </si>
  <si>
    <t>일</t>
  </si>
  <si>
    <t>월</t>
  </si>
  <si>
    <t>화</t>
  </si>
  <si>
    <t>수</t>
  </si>
  <si>
    <t>목</t>
  </si>
  <si>
    <t>금</t>
  </si>
  <si>
    <t>토</t>
  </si>
  <si>
    <t>화</t>
    <phoneticPr fontId="22" type="noConversion"/>
  </si>
  <si>
    <t>수</t>
    <phoneticPr fontId="22" type="noConversion"/>
  </si>
  <si>
    <t>맑음</t>
    <phoneticPr fontId="22" type="noConversion"/>
  </si>
  <si>
    <t>목</t>
    <phoneticPr fontId="22" type="noConversion"/>
  </si>
  <si>
    <t>맑음/흐림</t>
    <phoneticPr fontId="22" type="noConversion"/>
  </si>
  <si>
    <t>흐림/맑음</t>
    <phoneticPr fontId="22" type="noConversion"/>
  </si>
  <si>
    <t>눈,맑음</t>
    <phoneticPr fontId="22" type="noConversion"/>
  </si>
  <si>
    <t>흐림/눈</t>
    <phoneticPr fontId="22" type="noConversion"/>
  </si>
  <si>
    <t>반포 한강공원 10월 이용자 현황</t>
    <phoneticPr fontId="22" type="noConversion"/>
  </si>
  <si>
    <t>비/흐림</t>
    <phoneticPr fontId="22" type="noConversion"/>
  </si>
  <si>
    <t>농구장</t>
    <phoneticPr fontId="22" type="noConversion"/>
  </si>
  <si>
    <t>반포 한강공원 11월 이용자 현황</t>
    <phoneticPr fontId="22" type="noConversion"/>
  </si>
  <si>
    <t>비/맑음</t>
    <phoneticPr fontId="22" type="noConversion"/>
  </si>
  <si>
    <t>흐림</t>
    <phoneticPr fontId="22" type="noConversion"/>
  </si>
  <si>
    <t xml:space="preserve"> </t>
    <phoneticPr fontId="22" type="noConversion"/>
  </si>
  <si>
    <t>반포 한강공원 8월 이용자 현황</t>
    <phoneticPr fontId="22" type="noConversion"/>
  </si>
  <si>
    <t>비</t>
    <phoneticPr fontId="22" type="noConversion"/>
  </si>
  <si>
    <t>맑음/비</t>
    <phoneticPr fontId="22" type="noConversion"/>
  </si>
  <si>
    <t>반포 한강공원 9월 이용자 현황</t>
    <phoneticPr fontId="22" type="noConversion"/>
  </si>
  <si>
    <t>맑음</t>
  </si>
  <si>
    <t>흐림/비</t>
  </si>
  <si>
    <t>맑음/흐림</t>
  </si>
  <si>
    <t>맑음/비</t>
  </si>
  <si>
    <t>흐림/맑음</t>
  </si>
  <si>
    <t>비</t>
  </si>
  <si>
    <t>흐림,맑음</t>
    <phoneticPr fontId="22" type="noConversion"/>
  </si>
  <si>
    <t>반포 한강공원 7월 이용자 현황</t>
    <phoneticPr fontId="22" type="noConversion"/>
  </si>
  <si>
    <t>맑음,비</t>
    <phoneticPr fontId="22" type="noConversion"/>
  </si>
  <si>
    <t>비,맑음</t>
    <phoneticPr fontId="22" type="noConversion"/>
  </si>
  <si>
    <t>흐림,비</t>
    <phoneticPr fontId="22" type="noConversion"/>
  </si>
  <si>
    <t>반포 한강공원 5월 이용자 현황</t>
    <phoneticPr fontId="22" type="noConversion"/>
  </si>
  <si>
    <t>반포 한강공원 3월 이용자 현황</t>
    <phoneticPr fontId="22" type="noConversion"/>
  </si>
  <si>
    <t>반포 한강공원 4월 이용자 현황</t>
    <phoneticPr fontId="22" type="noConversion"/>
  </si>
  <si>
    <t>반포 한강공원 6월 이용자 현황</t>
    <phoneticPr fontId="22" type="noConversion"/>
  </si>
  <si>
    <t>반포 한강공원 2월 이용자 현황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</si>
</sst>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);[Red]\(#,##0\)"/>
  </numFmts>
  <fonts count="2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20"/>
      <color rgb="FF000000"/>
      <name val="맑은 고딕"/>
      <family val="3"/>
      <charset val="129"/>
    </font>
    <font>
      <b/>
      <sz val="11"/>
      <color rgb="FF0000F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1" fillId="2" borderId="0">
      <alignment vertical="center"/>
    </xf>
    <xf numFmtId="0" fontId="21" fillId="3" borderId="0">
      <alignment vertical="center"/>
    </xf>
    <xf numFmtId="0" fontId="21" fillId="4" borderId="0">
      <alignment vertical="center"/>
    </xf>
    <xf numFmtId="0" fontId="21" fillId="5" borderId="0">
      <alignment vertical="center"/>
    </xf>
    <xf numFmtId="0" fontId="21" fillId="6" borderId="0">
      <alignment vertical="center"/>
    </xf>
    <xf numFmtId="0" fontId="21" fillId="7" borderId="0">
      <alignment vertical="center"/>
    </xf>
    <xf numFmtId="0" fontId="21" fillId="8" borderId="0">
      <alignment vertical="center"/>
    </xf>
    <xf numFmtId="0" fontId="21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" fillId="14" borderId="0">
      <alignment vertical="center"/>
    </xf>
    <xf numFmtId="0" fontId="2" fillId="15" borderId="0">
      <alignment vertical="center"/>
    </xf>
    <xf numFmtId="0" fontId="2" fillId="16" borderId="0">
      <alignment vertical="center"/>
    </xf>
    <xf numFmtId="0" fontId="2" fillId="17" borderId="0">
      <alignment vertical="center"/>
    </xf>
    <xf numFmtId="0" fontId="2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3" fillId="0" borderId="0">
      <alignment vertical="center"/>
    </xf>
    <xf numFmtId="0" fontId="4" fillId="26" borderId="1">
      <alignment vertical="center"/>
    </xf>
    <xf numFmtId="0" fontId="5" fillId="27" borderId="0">
      <alignment vertical="center"/>
    </xf>
    <xf numFmtId="0" fontId="21" fillId="28" borderId="2">
      <alignment vertical="center"/>
    </xf>
    <xf numFmtId="0" fontId="6" fillId="29" borderId="0">
      <alignment vertical="center"/>
    </xf>
    <xf numFmtId="0" fontId="7" fillId="0" borderId="0">
      <alignment vertical="center"/>
    </xf>
    <xf numFmtId="0" fontId="8" fillId="30" borderId="3">
      <alignment vertical="center"/>
    </xf>
    <xf numFmtId="0" fontId="9" fillId="0" borderId="4">
      <alignment vertical="center"/>
    </xf>
    <xf numFmtId="0" fontId="10" fillId="0" borderId="5">
      <alignment vertical="center"/>
    </xf>
    <xf numFmtId="0" fontId="11" fillId="31" borderId="1">
      <alignment vertical="center"/>
    </xf>
    <xf numFmtId="0" fontId="12" fillId="0" borderId="0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5" fillId="0" borderId="8">
      <alignment vertical="center"/>
    </xf>
    <xf numFmtId="0" fontId="15" fillId="0" borderId="0">
      <alignment vertical="center"/>
    </xf>
    <xf numFmtId="0" fontId="16" fillId="32" borderId="0">
      <alignment vertical="center"/>
    </xf>
    <xf numFmtId="0" fontId="17" fillId="26" borderId="9">
      <alignment vertical="center"/>
    </xf>
    <xf numFmtId="41" fontId="21" fillId="0" borderId="0">
      <alignment vertical="center"/>
    </xf>
    <xf numFmtId="0" fontId="1" fillId="0" borderId="0">
      <alignment vertical="center"/>
    </xf>
    <xf numFmtId="41" fontId="1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10" fillId="33" borderId="10" xfId="0" applyFont="1" applyFill="1" applyBorder="1" applyAlignment="1">
      <alignment horizontal="center" vertical="center" wrapText="1"/>
    </xf>
    <xf numFmtId="0" fontId="10" fillId="33" borderId="11" xfId="0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19" fillId="0" borderId="0" xfId="0" applyFont="1" applyBorder="1">
      <alignment vertical="center"/>
    </xf>
    <xf numFmtId="41" fontId="10" fillId="33" borderId="10" xfId="42" applyFont="1" applyFill="1" applyBorder="1" applyAlignment="1">
      <alignment horizontal="center" vertical="center" wrapText="1"/>
    </xf>
    <xf numFmtId="41" fontId="10" fillId="34" borderId="10" xfId="42" applyFont="1" applyFill="1" applyBorder="1" applyAlignment="1">
      <alignment horizontal="center" vertical="center" wrapText="1"/>
    </xf>
    <xf numFmtId="41" fontId="10" fillId="33" borderId="10" xfId="42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>
      <alignment vertical="center" wrapText="1"/>
    </xf>
    <xf numFmtId="0" fontId="20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0" fillId="0" borderId="10" xfId="0" applyFont="1" applyBorder="1">
      <alignment vertical="center"/>
    </xf>
    <xf numFmtId="0" fontId="0" fillId="35" borderId="10" xfId="0" applyFont="1" applyFill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3" fontId="1" fillId="0" borderId="10" xfId="0" applyNumberFormat="1" applyFont="1" applyBorder="1" applyAlignment="1">
      <alignment vertical="center" wrapText="1"/>
    </xf>
    <xf numFmtId="0" fontId="1" fillId="0" borderId="10" xfId="0" applyFont="1" applyBorder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176" fontId="0" fillId="0" borderId="10" xfId="0" applyNumberFormat="1" applyBorder="1" applyAlignment="1">
      <alignment vertical="center" wrapText="1"/>
    </xf>
    <xf numFmtId="176" fontId="0" fillId="0" borderId="13" xfId="0" applyNumberFormat="1" applyFill="1" applyBorder="1" applyAlignment="1">
      <alignment vertical="center" wrapText="1"/>
    </xf>
    <xf numFmtId="176" fontId="0" fillId="0" borderId="10" xfId="0" applyNumberFormat="1" applyBorder="1">
      <alignment vertical="center"/>
    </xf>
    <xf numFmtId="176" fontId="0" fillId="0" borderId="10" xfId="0" applyNumberFormat="1" applyFont="1" applyBorder="1">
      <alignment vertical="center"/>
    </xf>
    <xf numFmtId="176" fontId="10" fillId="33" borderId="10" xfId="0" applyNumberFormat="1" applyFont="1" applyFill="1" applyBorder="1" applyAlignment="1">
      <alignment horizontal="center" vertical="center" wrapText="1"/>
    </xf>
    <xf numFmtId="176" fontId="0" fillId="35" borderId="10" xfId="0" applyNumberFormat="1" applyFont="1" applyFill="1" applyBorder="1" applyAlignment="1">
      <alignment horizontal="right" vertical="center" wrapText="1"/>
    </xf>
    <xf numFmtId="176" fontId="10" fillId="33" borderId="10" xfId="42" applyNumberFormat="1" applyFont="1" applyFill="1" applyBorder="1" applyAlignment="1" applyProtection="1">
      <alignment horizontal="center" vertical="center" wrapText="1"/>
    </xf>
    <xf numFmtId="176" fontId="10" fillId="34" borderId="10" xfId="42" applyNumberFormat="1" applyFont="1" applyFill="1" applyBorder="1" applyAlignment="1">
      <alignment horizontal="center" vertical="center" wrapText="1"/>
    </xf>
    <xf numFmtId="0" fontId="1" fillId="0" borderId="0" xfId="43">
      <alignment vertical="center"/>
    </xf>
    <xf numFmtId="0" fontId="19" fillId="0" borderId="0" xfId="43" applyFont="1" applyBorder="1">
      <alignment vertical="center"/>
    </xf>
    <xf numFmtId="0" fontId="18" fillId="0" borderId="12" xfId="43" applyFont="1" applyBorder="1" applyAlignment="1">
      <alignment vertical="center"/>
    </xf>
    <xf numFmtId="0" fontId="1" fillId="0" borderId="12" xfId="43" applyBorder="1" applyAlignment="1">
      <alignment vertical="center"/>
    </xf>
    <xf numFmtId="0" fontId="10" fillId="33" borderId="10" xfId="43" applyFont="1" applyFill="1" applyBorder="1" applyAlignment="1">
      <alignment horizontal="center" vertical="center" wrapText="1"/>
    </xf>
    <xf numFmtId="0" fontId="10" fillId="0" borderId="10" xfId="43" applyFont="1" applyBorder="1" applyAlignment="1">
      <alignment horizontal="center" vertical="center" wrapText="1"/>
    </xf>
    <xf numFmtId="0" fontId="10" fillId="33" borderId="11" xfId="43" applyFont="1" applyFill="1" applyBorder="1" applyAlignment="1">
      <alignment horizontal="center" vertical="center" wrapText="1"/>
    </xf>
    <xf numFmtId="0" fontId="1" fillId="0" borderId="10" xfId="43" applyFont="1" applyBorder="1" applyAlignment="1">
      <alignment horizontal="center" vertical="center" wrapText="1"/>
    </xf>
    <xf numFmtId="41" fontId="10" fillId="33" borderId="10" xfId="44" applyFont="1" applyFill="1" applyBorder="1" applyAlignment="1">
      <alignment horizontal="center" vertical="center" wrapText="1"/>
    </xf>
    <xf numFmtId="0" fontId="1" fillId="0" borderId="10" xfId="43" applyBorder="1" applyAlignment="1">
      <alignment vertical="center" wrapText="1"/>
    </xf>
    <xf numFmtId="176" fontId="1" fillId="0" borderId="10" xfId="43" applyNumberFormat="1" applyBorder="1" applyAlignment="1">
      <alignment vertical="center" wrapText="1"/>
    </xf>
    <xf numFmtId="176" fontId="1" fillId="0" borderId="13" xfId="43" applyNumberFormat="1" applyFill="1" applyBorder="1" applyAlignment="1">
      <alignment vertical="center" wrapText="1"/>
    </xf>
    <xf numFmtId="176" fontId="1" fillId="0" borderId="10" xfId="43" applyNumberFormat="1" applyBorder="1">
      <alignment vertical="center"/>
    </xf>
    <xf numFmtId="176" fontId="1" fillId="0" borderId="10" xfId="43" applyNumberFormat="1" applyFont="1" applyBorder="1">
      <alignment vertical="center"/>
    </xf>
    <xf numFmtId="3" fontId="1" fillId="0" borderId="10" xfId="43" applyNumberFormat="1" applyBorder="1" applyAlignment="1">
      <alignment vertical="center" wrapText="1"/>
    </xf>
    <xf numFmtId="176" fontId="10" fillId="33" borderId="10" xfId="43" applyNumberFormat="1" applyFont="1" applyFill="1" applyBorder="1" applyAlignment="1">
      <alignment horizontal="center" vertical="center" wrapText="1"/>
    </xf>
    <xf numFmtId="0" fontId="20" fillId="0" borderId="10" xfId="43" applyFont="1" applyBorder="1" applyAlignment="1">
      <alignment horizontal="center" vertical="center" wrapText="1"/>
    </xf>
    <xf numFmtId="0" fontId="1" fillId="35" borderId="10" xfId="43" applyFont="1" applyFill="1" applyBorder="1" applyAlignment="1">
      <alignment horizontal="right" vertical="center" wrapText="1"/>
    </xf>
    <xf numFmtId="41" fontId="10" fillId="33" borderId="10" xfId="44" applyFont="1" applyFill="1" applyBorder="1" applyAlignment="1" applyProtection="1">
      <alignment horizontal="center" vertical="center" wrapText="1"/>
    </xf>
    <xf numFmtId="176" fontId="10" fillId="33" borderId="10" xfId="44" applyNumberFormat="1" applyFont="1" applyFill="1" applyBorder="1" applyAlignment="1" applyProtection="1">
      <alignment horizontal="center" vertical="center" wrapText="1"/>
    </xf>
    <xf numFmtId="41" fontId="10" fillId="34" borderId="10" xfId="44" applyFont="1" applyFill="1" applyBorder="1" applyAlignment="1">
      <alignment horizontal="center" vertical="center" wrapText="1"/>
    </xf>
    <xf numFmtId="176" fontId="10" fillId="34" borderId="10" xfId="44" applyNumberFormat="1" applyFont="1" applyFill="1" applyBorder="1" applyAlignment="1">
      <alignment horizontal="center" vertical="center" wrapText="1"/>
    </xf>
    <xf numFmtId="0" fontId="1" fillId="0" borderId="10" xfId="43" applyBorder="1" applyAlignment="1">
      <alignment horizontal="center" vertical="center" wrapText="1"/>
    </xf>
    <xf numFmtId="0" fontId="1" fillId="0" borderId="10" xfId="43" applyBorder="1">
      <alignment vertical="center"/>
    </xf>
    <xf numFmtId="0" fontId="1" fillId="0" borderId="10" xfId="43" applyFont="1" applyBorder="1">
      <alignment vertical="center"/>
    </xf>
    <xf numFmtId="0" fontId="1" fillId="0" borderId="10" xfId="43" applyFont="1" applyBorder="1" applyAlignment="1">
      <alignment vertical="center" wrapText="1"/>
    </xf>
    <xf numFmtId="176" fontId="1" fillId="0" borderId="0" xfId="43" applyNumberFormat="1">
      <alignment vertical="center"/>
    </xf>
    <xf numFmtId="176" fontId="1" fillId="0" borderId="0" xfId="43" applyNumberFormat="1" applyFont="1">
      <alignment vertical="center"/>
    </xf>
    <xf numFmtId="176" fontId="1" fillId="0" borderId="10" xfId="43" applyNumberFormat="1" applyBorder="1" applyAlignment="1">
      <alignment horizontal="right" vertical="center" wrapText="1"/>
    </xf>
    <xf numFmtId="176" fontId="1" fillId="0" borderId="10" xfId="43" applyNumberFormat="1" applyBorder="1" applyAlignment="1">
      <alignment horizontal="right" vertical="center"/>
    </xf>
    <xf numFmtId="176" fontId="1" fillId="0" borderId="10" xfId="43" applyNumberFormat="1" applyFont="1" applyBorder="1" applyAlignment="1">
      <alignment horizontal="right" vertical="center"/>
    </xf>
    <xf numFmtId="176" fontId="10" fillId="33" borderId="10" xfId="43" applyNumberFormat="1" applyFont="1" applyFill="1" applyBorder="1" applyAlignment="1">
      <alignment horizontal="right" vertical="center" wrapText="1"/>
    </xf>
    <xf numFmtId="176" fontId="1" fillId="35" borderId="10" xfId="43" applyNumberFormat="1" applyFont="1" applyFill="1" applyBorder="1" applyAlignment="1">
      <alignment horizontal="right" vertical="center" wrapText="1"/>
    </xf>
    <xf numFmtId="176" fontId="10" fillId="33" borderId="10" xfId="44" applyNumberFormat="1" applyFont="1" applyFill="1" applyBorder="1" applyAlignment="1" applyProtection="1">
      <alignment horizontal="right" vertical="center" wrapText="1"/>
    </xf>
    <xf numFmtId="176" fontId="10" fillId="34" borderId="10" xfId="44" applyNumberFormat="1" applyFont="1" applyFill="1" applyBorder="1" applyAlignment="1">
      <alignment horizontal="right" vertical="center" wrapText="1"/>
    </xf>
    <xf numFmtId="0" fontId="1" fillId="0" borderId="0" xfId="43" applyFont="1">
      <alignment vertical="center"/>
    </xf>
    <xf numFmtId="41" fontId="1" fillId="0" borderId="0" xfId="43" applyNumberFormat="1" applyFont="1">
      <alignment vertical="center"/>
    </xf>
    <xf numFmtId="176" fontId="1" fillId="0" borderId="10" xfId="43" applyNumberFormat="1" applyFont="1" applyBorder="1" applyAlignment="1">
      <alignment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10" fillId="33" borderId="14" xfId="0" applyFont="1" applyFill="1" applyBorder="1" applyAlignment="1">
      <alignment horizontal="center" vertical="center" wrapText="1"/>
    </xf>
    <xf numFmtId="0" fontId="10" fillId="33" borderId="16" xfId="0" applyFont="1" applyFill="1" applyBorder="1" applyAlignment="1">
      <alignment horizontal="center" vertical="center" wrapText="1"/>
    </xf>
    <xf numFmtId="0" fontId="10" fillId="33" borderId="15" xfId="0" applyFont="1" applyFill="1" applyBorder="1" applyAlignment="1">
      <alignment horizontal="center" vertical="center" wrapText="1"/>
    </xf>
    <xf numFmtId="0" fontId="10" fillId="34" borderId="14" xfId="0" applyFont="1" applyFill="1" applyBorder="1" applyAlignment="1">
      <alignment horizontal="center" vertical="center" wrapText="1"/>
    </xf>
    <xf numFmtId="0" fontId="10" fillId="34" borderId="16" xfId="0" applyFont="1" applyFill="1" applyBorder="1" applyAlignment="1">
      <alignment horizontal="center" vertical="center" wrapText="1"/>
    </xf>
    <xf numFmtId="0" fontId="10" fillId="34" borderId="15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0" fillId="33" borderId="17" xfId="0" applyFont="1" applyFill="1" applyBorder="1" applyAlignment="1">
      <alignment horizontal="center" vertical="center" wrapText="1"/>
    </xf>
    <xf numFmtId="0" fontId="10" fillId="33" borderId="18" xfId="0" applyFont="1" applyFill="1" applyBorder="1" applyAlignment="1">
      <alignment horizontal="center" vertical="center" wrapText="1"/>
    </xf>
    <xf numFmtId="0" fontId="19" fillId="0" borderId="0" xfId="43" applyFont="1" applyBorder="1" applyAlignment="1">
      <alignment horizontal="center" vertical="center"/>
    </xf>
    <xf numFmtId="0" fontId="19" fillId="0" borderId="12" xfId="43" applyFont="1" applyBorder="1" applyAlignment="1">
      <alignment horizontal="center" vertical="center"/>
    </xf>
    <xf numFmtId="0" fontId="10" fillId="33" borderId="14" xfId="43" applyFont="1" applyFill="1" applyBorder="1" applyAlignment="1">
      <alignment horizontal="center" vertical="center" wrapText="1"/>
    </xf>
    <xf numFmtId="0" fontId="10" fillId="33" borderId="16" xfId="43" applyFont="1" applyFill="1" applyBorder="1" applyAlignment="1">
      <alignment horizontal="center" vertical="center" wrapText="1"/>
    </xf>
    <xf numFmtId="0" fontId="10" fillId="33" borderId="15" xfId="43" applyFont="1" applyFill="1" applyBorder="1" applyAlignment="1">
      <alignment horizontal="center" vertical="center" wrapText="1"/>
    </xf>
    <xf numFmtId="0" fontId="10" fillId="33" borderId="17" xfId="43" applyFont="1" applyFill="1" applyBorder="1" applyAlignment="1">
      <alignment horizontal="center" vertical="center" wrapText="1"/>
    </xf>
    <xf numFmtId="0" fontId="10" fillId="33" borderId="18" xfId="43" applyFont="1" applyFill="1" applyBorder="1" applyAlignment="1">
      <alignment horizontal="center" vertical="center" wrapText="1"/>
    </xf>
    <xf numFmtId="0" fontId="10" fillId="0" borderId="17" xfId="43" applyFont="1" applyBorder="1" applyAlignment="1">
      <alignment horizontal="center" vertical="center" wrapText="1"/>
    </xf>
    <xf numFmtId="0" fontId="10" fillId="0" borderId="13" xfId="43" applyFont="1" applyBorder="1" applyAlignment="1">
      <alignment horizontal="center" vertical="center" wrapText="1"/>
    </xf>
    <xf numFmtId="0" fontId="10" fillId="0" borderId="18" xfId="43" applyFont="1" applyBorder="1" applyAlignment="1">
      <alignment horizontal="center" vertical="center" wrapText="1"/>
    </xf>
    <xf numFmtId="0" fontId="10" fillId="0" borderId="14" xfId="43" applyFont="1" applyBorder="1" applyAlignment="1">
      <alignment horizontal="center" vertical="center" wrapText="1"/>
    </xf>
    <xf numFmtId="0" fontId="10" fillId="0" borderId="15" xfId="43" applyFont="1" applyBorder="1" applyAlignment="1">
      <alignment horizontal="center" vertical="center" wrapText="1"/>
    </xf>
    <xf numFmtId="0" fontId="20" fillId="0" borderId="14" xfId="43" applyFont="1" applyBorder="1" applyAlignment="1">
      <alignment horizontal="center" vertical="center" wrapText="1"/>
    </xf>
    <xf numFmtId="0" fontId="20" fillId="0" borderId="15" xfId="43" applyFont="1" applyBorder="1" applyAlignment="1">
      <alignment horizontal="center" vertical="center" wrapText="1"/>
    </xf>
    <xf numFmtId="0" fontId="10" fillId="34" borderId="14" xfId="43" applyFont="1" applyFill="1" applyBorder="1" applyAlignment="1">
      <alignment horizontal="center" vertical="center" wrapText="1"/>
    </xf>
    <xf numFmtId="0" fontId="10" fillId="34" borderId="16" xfId="43" applyFont="1" applyFill="1" applyBorder="1" applyAlignment="1">
      <alignment horizontal="center" vertical="center" wrapText="1"/>
    </xf>
    <xf numFmtId="0" fontId="10" fillId="34" borderId="15" xfId="43" applyFont="1" applyFill="1" applyBorder="1" applyAlignment="1">
      <alignment horizontal="center" vertical="center" wrapText="1"/>
    </xf>
  </cellXfs>
  <cellStyles count="45">
    <cellStyle name="20% - 강조색1" xfId="1"/>
    <cellStyle name="20% - 강조색2" xfId="2"/>
    <cellStyle name="20% - 강조색3" xfId="3"/>
    <cellStyle name="20% - 강조색4" xfId="4"/>
    <cellStyle name="20% - 강조색5" xfId="5"/>
    <cellStyle name="20% - 강조색6" xfId="6"/>
    <cellStyle name="40% - 강조색1" xfId="7"/>
    <cellStyle name="40% - 강조색2" xfId="8"/>
    <cellStyle name="40% - 강조색3" xfId="9"/>
    <cellStyle name="40% - 강조색4" xfId="10"/>
    <cellStyle name="40% - 강조색5" xfId="11"/>
    <cellStyle name="40% - 강조색6" xfId="12"/>
    <cellStyle name="60% - 강조색1" xfId="13"/>
    <cellStyle name="60% - 강조색2" xfId="14"/>
    <cellStyle name="60% - 강조색3" xfId="15"/>
    <cellStyle name="60% - 강조색4" xfId="16"/>
    <cellStyle name="60% - 강조색5" xfId="17"/>
    <cellStyle name="60% - 강조색6" xfId="18"/>
    <cellStyle name="강조색1" xfId="19"/>
    <cellStyle name="강조색2" xfId="20"/>
    <cellStyle name="강조색3" xfId="21"/>
    <cellStyle name="강조색4" xfId="22"/>
    <cellStyle name="강조색5" xfId="23"/>
    <cellStyle name="강조색6" xfId="24"/>
    <cellStyle name="경고문" xfId="25"/>
    <cellStyle name="계산" xfId="26"/>
    <cellStyle name="나쁨" xfId="27"/>
    <cellStyle name="메모" xfId="28"/>
    <cellStyle name="보통" xfId="29"/>
    <cellStyle name="설명 텍스트" xfId="30"/>
    <cellStyle name="셀 확인" xfId="31"/>
    <cellStyle name="쉼표 [0]" xfId="42" builtinId="6"/>
    <cellStyle name="쉼표 [0] 2" xfId="44"/>
    <cellStyle name="연결된 셀" xfId="32"/>
    <cellStyle name="요약" xfId="33"/>
    <cellStyle name="입력" xfId="34"/>
    <cellStyle name="제목" xfId="35"/>
    <cellStyle name="제목 1" xfId="36"/>
    <cellStyle name="제목 2" xfId="37"/>
    <cellStyle name="제목 3" xfId="38"/>
    <cellStyle name="제목 4" xfId="39"/>
    <cellStyle name="좋음" xfId="40"/>
    <cellStyle name="출력" xfId="41"/>
    <cellStyle name="표준" xfId="0" builtinId="0"/>
    <cellStyle name="표준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tabSelected="1" zoomScale="85" zoomScaleNormal="85" workbookViewId="0">
      <pane xSplit="3" ySplit="4" topLeftCell="D5" activePane="bottomRight" state="frozen"/>
      <selection pane="topRight"/>
      <selection pane="bottomLeft"/>
      <selection pane="bottomRight" activeCell="D1" sqref="D1:O2"/>
    </sheetView>
  </sheetViews>
  <sheetFormatPr defaultColWidth="8.75"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3" width="9.125" style="1" customWidth="1"/>
    <col min="34" max="34" width="8.875" style="1" bestFit="1" customWidth="1"/>
    <col min="35" max="35" width="8.875" style="1" hidden="1" customWidth="1"/>
    <col min="36" max="36" width="8.75" style="1" bestFit="1" customWidth="1"/>
    <col min="37" max="16384" width="8.75" style="1"/>
  </cols>
  <sheetData>
    <row r="1" spans="1:36" ht="34.5" customHeight="1" x14ac:dyDescent="0.3">
      <c r="B1" s="9"/>
      <c r="C1" s="9"/>
      <c r="D1" s="82" t="s">
        <v>54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36" ht="14.25" customHeight="1" x14ac:dyDescent="0.3">
      <c r="A2" s="6"/>
      <c r="B2" s="7"/>
      <c r="C2" s="7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7"/>
      <c r="Q2" s="7"/>
    </row>
    <row r="3" spans="1:36" ht="16.5" customHeight="1" x14ac:dyDescent="0.3">
      <c r="A3" s="71" t="s">
        <v>20</v>
      </c>
      <c r="B3" s="72"/>
      <c r="C3" s="73"/>
      <c r="D3" s="84" t="s">
        <v>6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31</v>
      </c>
    </row>
    <row r="4" spans="1:36" ht="16.5" customHeight="1" x14ac:dyDescent="0.3">
      <c r="A4" s="71" t="s">
        <v>19</v>
      </c>
      <c r="B4" s="72"/>
      <c r="C4" s="73"/>
      <c r="D4" s="85"/>
      <c r="E4" s="15" t="s">
        <v>56</v>
      </c>
      <c r="F4" s="15" t="s">
        <v>57</v>
      </c>
      <c r="G4" s="15" t="s">
        <v>58</v>
      </c>
      <c r="H4" s="15" t="s">
        <v>59</v>
      </c>
      <c r="I4" s="15" t="s">
        <v>60</v>
      </c>
      <c r="J4" s="15" t="s">
        <v>61</v>
      </c>
      <c r="K4" s="15" t="s">
        <v>55</v>
      </c>
      <c r="L4" s="15" t="s">
        <v>56</v>
      </c>
      <c r="M4" s="15" t="s">
        <v>57</v>
      </c>
      <c r="N4" s="15" t="s">
        <v>58</v>
      </c>
      <c r="O4" s="15" t="s">
        <v>59</v>
      </c>
      <c r="P4" s="15" t="s">
        <v>60</v>
      </c>
      <c r="Q4" s="15" t="s">
        <v>61</v>
      </c>
      <c r="R4" s="15" t="s">
        <v>55</v>
      </c>
      <c r="S4" s="15" t="s">
        <v>56</v>
      </c>
      <c r="T4" s="15" t="s">
        <v>57</v>
      </c>
      <c r="U4" s="15" t="s">
        <v>58</v>
      </c>
      <c r="V4" s="15" t="s">
        <v>59</v>
      </c>
      <c r="W4" s="15" t="s">
        <v>60</v>
      </c>
      <c r="X4" s="15" t="s">
        <v>61</v>
      </c>
      <c r="Y4" s="15" t="s">
        <v>55</v>
      </c>
      <c r="Z4" s="15" t="s">
        <v>56</v>
      </c>
      <c r="AA4" s="15" t="s">
        <v>57</v>
      </c>
      <c r="AB4" s="15" t="s">
        <v>58</v>
      </c>
      <c r="AC4" s="15" t="s">
        <v>59</v>
      </c>
      <c r="AD4" s="15" t="s">
        <v>60</v>
      </c>
      <c r="AE4" s="15" t="s">
        <v>61</v>
      </c>
      <c r="AF4" s="15" t="s">
        <v>55</v>
      </c>
      <c r="AG4" s="15" t="s">
        <v>56</v>
      </c>
      <c r="AH4" s="15" t="s">
        <v>63</v>
      </c>
      <c r="AI4" s="15" t="s">
        <v>62</v>
      </c>
      <c r="AJ4" s="22" t="s">
        <v>64</v>
      </c>
    </row>
    <row r="5" spans="1:36" ht="26.25" customHeight="1" x14ac:dyDescent="0.3">
      <c r="A5" s="77" t="s">
        <v>32</v>
      </c>
      <c r="B5" s="80" t="s">
        <v>31</v>
      </c>
      <c r="C5" s="81"/>
      <c r="D5" s="5"/>
      <c r="E5" s="18" t="s">
        <v>65</v>
      </c>
      <c r="F5" s="18" t="s">
        <v>66</v>
      </c>
      <c r="G5" s="18" t="s">
        <v>67</v>
      </c>
      <c r="H5" s="18" t="s">
        <v>67</v>
      </c>
      <c r="I5" s="18" t="s">
        <v>67</v>
      </c>
      <c r="J5" s="18" t="s">
        <v>68</v>
      </c>
      <c r="K5" s="18" t="s">
        <v>68</v>
      </c>
      <c r="L5" s="18" t="s">
        <v>69</v>
      </c>
      <c r="M5" s="18" t="s">
        <v>70</v>
      </c>
      <c r="N5" s="18" t="s">
        <v>71</v>
      </c>
      <c r="O5" s="18" t="s">
        <v>71</v>
      </c>
      <c r="P5" s="18" t="s">
        <v>71</v>
      </c>
      <c r="Q5" s="18" t="s">
        <v>71</v>
      </c>
      <c r="R5" s="18" t="s">
        <v>71</v>
      </c>
      <c r="S5" s="18" t="s">
        <v>71</v>
      </c>
      <c r="T5" s="18" t="s">
        <v>71</v>
      </c>
      <c r="U5" s="18" t="s">
        <v>71</v>
      </c>
      <c r="V5" s="18" t="s">
        <v>71</v>
      </c>
      <c r="W5" s="18" t="s">
        <v>72</v>
      </c>
      <c r="X5" s="18" t="s">
        <v>71</v>
      </c>
      <c r="Y5" s="18" t="s">
        <v>71</v>
      </c>
      <c r="Z5" s="18" t="s">
        <v>71</v>
      </c>
      <c r="AA5" s="18" t="s">
        <v>71</v>
      </c>
      <c r="AB5" s="18" t="s">
        <v>71</v>
      </c>
      <c r="AC5" s="18" t="s">
        <v>71</v>
      </c>
      <c r="AD5" s="18" t="s">
        <v>71</v>
      </c>
      <c r="AE5" s="18" t="s">
        <v>69</v>
      </c>
      <c r="AF5" s="18" t="s">
        <v>73</v>
      </c>
      <c r="AG5" s="18" t="s">
        <v>71</v>
      </c>
      <c r="AH5" s="18" t="s">
        <v>71</v>
      </c>
      <c r="AI5" s="8"/>
      <c r="AJ5" s="18" t="s">
        <v>70</v>
      </c>
    </row>
    <row r="6" spans="1:36" ht="16.5" customHeight="1" x14ac:dyDescent="0.3">
      <c r="A6" s="78"/>
      <c r="B6" s="69" t="s">
        <v>22</v>
      </c>
      <c r="C6" s="70"/>
      <c r="D6" s="10">
        <f t="shared" ref="D6:D22" si="0">SUM(E6:AH6)</f>
        <v>2600</v>
      </c>
      <c r="E6" s="3">
        <v>0</v>
      </c>
      <c r="F6" s="3">
        <v>0</v>
      </c>
      <c r="G6" s="3">
        <v>0</v>
      </c>
      <c r="H6" s="3">
        <v>410</v>
      </c>
      <c r="I6" s="3">
        <v>0</v>
      </c>
      <c r="J6" s="3">
        <v>0</v>
      </c>
      <c r="K6" s="13">
        <v>0</v>
      </c>
      <c r="L6" s="3">
        <v>400</v>
      </c>
      <c r="M6" s="3">
        <v>0</v>
      </c>
      <c r="N6" s="3">
        <v>0</v>
      </c>
      <c r="O6" s="13">
        <v>0</v>
      </c>
      <c r="P6" s="3">
        <v>340</v>
      </c>
      <c r="Q6" s="3">
        <v>0</v>
      </c>
      <c r="R6" s="2">
        <v>0</v>
      </c>
      <c r="S6" s="2">
        <v>0</v>
      </c>
      <c r="T6" s="2">
        <v>360</v>
      </c>
      <c r="U6" s="2">
        <v>0</v>
      </c>
      <c r="V6" s="2">
        <v>0</v>
      </c>
      <c r="W6" s="2">
        <v>0</v>
      </c>
      <c r="X6" s="2">
        <v>380</v>
      </c>
      <c r="Y6" s="2">
        <v>0</v>
      </c>
      <c r="Z6" s="2">
        <v>0</v>
      </c>
      <c r="AA6" s="2">
        <v>0</v>
      </c>
      <c r="AB6" s="2">
        <v>400</v>
      </c>
      <c r="AC6" s="2">
        <v>0</v>
      </c>
      <c r="AD6" s="2">
        <v>0</v>
      </c>
      <c r="AE6" s="2">
        <v>0</v>
      </c>
      <c r="AF6" s="2">
        <v>310</v>
      </c>
      <c r="AG6" s="2">
        <v>0</v>
      </c>
      <c r="AH6" s="16">
        <v>0</v>
      </c>
      <c r="AI6" s="2"/>
      <c r="AJ6" s="16">
        <v>0</v>
      </c>
    </row>
    <row r="7" spans="1:36" ht="16.5" customHeight="1" x14ac:dyDescent="0.3">
      <c r="A7" s="78"/>
      <c r="B7" s="69" t="s">
        <v>23</v>
      </c>
      <c r="C7" s="70"/>
      <c r="D7" s="10">
        <f t="shared" si="0"/>
        <v>63825</v>
      </c>
      <c r="E7" s="3">
        <v>1865</v>
      </c>
      <c r="F7" s="3">
        <v>3412</v>
      </c>
      <c r="G7" s="19">
        <v>1525</v>
      </c>
      <c r="H7" s="3">
        <v>2610</v>
      </c>
      <c r="I7" s="3">
        <v>2265</v>
      </c>
      <c r="J7" s="3">
        <v>2762</v>
      </c>
      <c r="K7" s="3">
        <v>269</v>
      </c>
      <c r="L7" s="3">
        <v>1210</v>
      </c>
      <c r="M7" s="3">
        <v>1965</v>
      </c>
      <c r="N7" s="3">
        <v>3112</v>
      </c>
      <c r="O7" s="3">
        <v>1960</v>
      </c>
      <c r="P7" s="3">
        <v>2110</v>
      </c>
      <c r="Q7" s="3">
        <v>2055</v>
      </c>
      <c r="R7" s="2">
        <v>2872</v>
      </c>
      <c r="S7" s="2">
        <v>2030</v>
      </c>
      <c r="T7" s="21">
        <v>1210</v>
      </c>
      <c r="U7" s="2">
        <v>2255</v>
      </c>
      <c r="V7" s="2">
        <v>3162</v>
      </c>
      <c r="W7" s="2">
        <v>1975</v>
      </c>
      <c r="X7" s="2">
        <v>1210</v>
      </c>
      <c r="Y7" s="2">
        <v>1755</v>
      </c>
      <c r="Z7" s="2">
        <v>2712</v>
      </c>
      <c r="AA7" s="2">
        <v>2030</v>
      </c>
      <c r="AB7" s="2">
        <v>1210</v>
      </c>
      <c r="AC7" s="2">
        <v>2355</v>
      </c>
      <c r="AD7" s="2">
        <v>3412</v>
      </c>
      <c r="AE7" s="2">
        <v>2150</v>
      </c>
      <c r="AF7" s="2">
        <v>1260</v>
      </c>
      <c r="AG7" s="2">
        <v>2175</v>
      </c>
      <c r="AH7" s="2">
        <v>2932</v>
      </c>
      <c r="AI7" s="2"/>
      <c r="AJ7" s="2">
        <v>1985</v>
      </c>
    </row>
    <row r="8" spans="1:36" ht="16.5" customHeight="1" x14ac:dyDescent="0.3">
      <c r="A8" s="78"/>
      <c r="B8" s="69" t="s">
        <v>25</v>
      </c>
      <c r="C8" s="70"/>
      <c r="D8" s="10">
        <f t="shared" si="0"/>
        <v>35183</v>
      </c>
      <c r="E8" s="3">
        <v>2019</v>
      </c>
      <c r="F8" s="3">
        <v>0</v>
      </c>
      <c r="G8" s="3">
        <v>1880</v>
      </c>
      <c r="H8" s="3">
        <v>1925</v>
      </c>
      <c r="I8" s="3">
        <v>2119</v>
      </c>
      <c r="J8" s="3">
        <v>0</v>
      </c>
      <c r="K8" s="3">
        <v>1290</v>
      </c>
      <c r="L8" s="3">
        <v>1955</v>
      </c>
      <c r="M8" s="3">
        <v>1940</v>
      </c>
      <c r="N8" s="3">
        <v>0</v>
      </c>
      <c r="O8" s="3">
        <v>1630</v>
      </c>
      <c r="P8" s="3">
        <v>1730</v>
      </c>
      <c r="Q8" s="3">
        <v>1219</v>
      </c>
      <c r="R8" s="2">
        <v>0</v>
      </c>
      <c r="S8" s="2">
        <v>1280</v>
      </c>
      <c r="T8" s="2">
        <v>1770</v>
      </c>
      <c r="U8" s="2">
        <v>1219</v>
      </c>
      <c r="V8" s="2">
        <v>0</v>
      </c>
      <c r="W8" s="2">
        <v>1750</v>
      </c>
      <c r="X8" s="2">
        <v>1755</v>
      </c>
      <c r="Y8" s="2">
        <v>1219</v>
      </c>
      <c r="Z8" s="2">
        <v>0</v>
      </c>
      <c r="AA8" s="2">
        <v>1730</v>
      </c>
      <c r="AB8" s="2">
        <v>1840</v>
      </c>
      <c r="AC8" s="2">
        <v>1219</v>
      </c>
      <c r="AD8" s="2">
        <v>0</v>
      </c>
      <c r="AE8" s="2">
        <v>1290</v>
      </c>
      <c r="AF8" s="2">
        <v>1315</v>
      </c>
      <c r="AG8" s="2">
        <v>1089</v>
      </c>
      <c r="AH8" s="2">
        <v>0</v>
      </c>
      <c r="AI8" s="2"/>
      <c r="AJ8" s="2">
        <v>1540</v>
      </c>
    </row>
    <row r="9" spans="1:36" ht="16.5" customHeight="1" x14ac:dyDescent="0.3">
      <c r="A9" s="78"/>
      <c r="B9" s="69" t="s">
        <v>29</v>
      </c>
      <c r="C9" s="70"/>
      <c r="D9" s="10">
        <f t="shared" si="0"/>
        <v>29235</v>
      </c>
      <c r="E9" s="3">
        <v>784</v>
      </c>
      <c r="F9" s="3">
        <v>1140</v>
      </c>
      <c r="G9" s="3">
        <v>748</v>
      </c>
      <c r="H9" s="20">
        <v>1250</v>
      </c>
      <c r="I9" s="3">
        <v>844</v>
      </c>
      <c r="J9" s="3">
        <v>1070</v>
      </c>
      <c r="K9" s="3">
        <v>310</v>
      </c>
      <c r="L9" s="3">
        <v>765</v>
      </c>
      <c r="M9" s="3">
        <v>690</v>
      </c>
      <c r="N9" s="3">
        <v>1140</v>
      </c>
      <c r="O9" s="3">
        <v>1160</v>
      </c>
      <c r="P9" s="3">
        <v>970</v>
      </c>
      <c r="Q9" s="3">
        <v>844</v>
      </c>
      <c r="R9" s="2">
        <v>1120</v>
      </c>
      <c r="S9" s="2">
        <v>1090</v>
      </c>
      <c r="T9" s="2">
        <v>738</v>
      </c>
      <c r="U9" s="2">
        <v>844</v>
      </c>
      <c r="V9" s="2">
        <v>1220</v>
      </c>
      <c r="W9" s="2">
        <v>1280</v>
      </c>
      <c r="X9" s="2">
        <v>770</v>
      </c>
      <c r="Y9" s="2">
        <v>844</v>
      </c>
      <c r="Z9" s="2">
        <v>1170</v>
      </c>
      <c r="AA9" s="2">
        <v>1345</v>
      </c>
      <c r="AB9" s="2">
        <v>925</v>
      </c>
      <c r="AC9" s="2">
        <v>844</v>
      </c>
      <c r="AD9" s="2">
        <v>1270</v>
      </c>
      <c r="AE9" s="2">
        <v>1180</v>
      </c>
      <c r="AF9" s="2">
        <v>786</v>
      </c>
      <c r="AG9" s="2">
        <v>824</v>
      </c>
      <c r="AH9" s="2">
        <v>1270</v>
      </c>
      <c r="AI9" s="2"/>
      <c r="AJ9" s="2">
        <v>1335</v>
      </c>
    </row>
    <row r="10" spans="1:36" ht="16.5" customHeight="1" x14ac:dyDescent="0.3">
      <c r="A10" s="78"/>
      <c r="B10" s="80" t="s">
        <v>18</v>
      </c>
      <c r="C10" s="81"/>
      <c r="D10" s="10">
        <f t="shared" si="0"/>
        <v>0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ht="16.5" customHeight="1" x14ac:dyDescent="0.3">
      <c r="A11" s="78"/>
      <c r="B11" s="80" t="s">
        <v>39</v>
      </c>
      <c r="C11" s="81"/>
      <c r="D11" s="10">
        <f t="shared" si="0"/>
        <v>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ht="16.5" customHeight="1" x14ac:dyDescent="0.3">
      <c r="A12" s="78"/>
      <c r="B12" s="69" t="s">
        <v>45</v>
      </c>
      <c r="C12" s="70"/>
      <c r="D12" s="10">
        <f t="shared" si="0"/>
        <v>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ht="16.5" customHeight="1" x14ac:dyDescent="0.3">
      <c r="A13" s="78"/>
      <c r="B13" s="80" t="s">
        <v>47</v>
      </c>
      <c r="C13" s="81"/>
      <c r="D13" s="10">
        <f t="shared" si="0"/>
        <v>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x14ac:dyDescent="0.3">
      <c r="A14" s="78"/>
      <c r="B14" s="80" t="s">
        <v>3</v>
      </c>
      <c r="C14" s="81"/>
      <c r="D14" s="10">
        <f t="shared" si="0"/>
        <v>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x14ac:dyDescent="0.3">
      <c r="A15" s="78"/>
      <c r="B15" s="80" t="s">
        <v>8</v>
      </c>
      <c r="C15" s="81"/>
      <c r="D15" s="10">
        <f t="shared" si="0"/>
        <v>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16.5" customHeight="1" x14ac:dyDescent="0.3">
      <c r="A16" s="78"/>
      <c r="B16" s="80" t="s">
        <v>14</v>
      </c>
      <c r="C16" s="81"/>
      <c r="D16" s="10">
        <f t="shared" si="0"/>
        <v>0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x14ac:dyDescent="0.3">
      <c r="A17" s="78"/>
      <c r="B17" s="80" t="s">
        <v>27</v>
      </c>
      <c r="C17" s="81"/>
      <c r="D17" s="10">
        <f t="shared" si="0"/>
        <v>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3">
      <c r="A18" s="78"/>
      <c r="B18" s="69" t="s">
        <v>1</v>
      </c>
      <c r="C18" s="70"/>
      <c r="D18" s="10">
        <f t="shared" si="0"/>
        <v>49237</v>
      </c>
      <c r="E18" s="3">
        <v>2173</v>
      </c>
      <c r="F18" s="3">
        <v>1438</v>
      </c>
      <c r="G18" s="19">
        <v>1660</v>
      </c>
      <c r="H18" s="3">
        <v>2035</v>
      </c>
      <c r="I18" s="3">
        <v>2673</v>
      </c>
      <c r="J18" s="3">
        <v>1258</v>
      </c>
      <c r="K18" s="3">
        <v>370</v>
      </c>
      <c r="L18" s="3">
        <v>1095</v>
      </c>
      <c r="M18" s="3">
        <v>1560</v>
      </c>
      <c r="N18" s="3">
        <v>1438</v>
      </c>
      <c r="O18" s="3">
        <v>1710</v>
      </c>
      <c r="P18" s="3">
        <v>1445</v>
      </c>
      <c r="Q18" s="3">
        <v>1403</v>
      </c>
      <c r="R18" s="2">
        <v>1328</v>
      </c>
      <c r="S18" s="2">
        <v>1680</v>
      </c>
      <c r="T18" s="2">
        <v>1920</v>
      </c>
      <c r="U18" s="2">
        <v>1703</v>
      </c>
      <c r="V18" s="2">
        <v>1638</v>
      </c>
      <c r="W18" s="2">
        <v>1915</v>
      </c>
      <c r="X18" s="2">
        <v>1980</v>
      </c>
      <c r="Y18" s="2">
        <v>1263</v>
      </c>
      <c r="Z18" s="2">
        <v>1408</v>
      </c>
      <c r="AA18" s="2">
        <v>2095</v>
      </c>
      <c r="AB18" s="2">
        <v>2050</v>
      </c>
      <c r="AC18" s="2">
        <v>1563</v>
      </c>
      <c r="AD18" s="2">
        <v>2168</v>
      </c>
      <c r="AE18" s="2">
        <v>1680</v>
      </c>
      <c r="AF18" s="2">
        <v>1455</v>
      </c>
      <c r="AG18" s="2">
        <v>1495</v>
      </c>
      <c r="AH18" s="2">
        <v>1638</v>
      </c>
      <c r="AI18" s="2"/>
      <c r="AJ18" s="2">
        <v>1895</v>
      </c>
    </row>
    <row r="19" spans="1:36" ht="16.5" customHeight="1" x14ac:dyDescent="0.3">
      <c r="A19" s="78"/>
      <c r="B19" s="80" t="s">
        <v>2</v>
      </c>
      <c r="C19" s="81"/>
      <c r="D19" s="10">
        <f t="shared" si="0"/>
        <v>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6.5" customHeight="1" x14ac:dyDescent="0.3">
      <c r="A20" s="78"/>
      <c r="B20" s="69" t="s">
        <v>16</v>
      </c>
      <c r="C20" s="70"/>
      <c r="D20" s="10">
        <f t="shared" si="0"/>
        <v>5363</v>
      </c>
      <c r="E20" s="3">
        <v>5</v>
      </c>
      <c r="F20" s="3">
        <v>50</v>
      </c>
      <c r="G20" s="3">
        <v>196</v>
      </c>
      <c r="H20" s="3">
        <v>825</v>
      </c>
      <c r="I20" s="3">
        <v>5</v>
      </c>
      <c r="J20" s="3">
        <v>65</v>
      </c>
      <c r="K20" s="3">
        <v>85</v>
      </c>
      <c r="L20" s="3">
        <v>281</v>
      </c>
      <c r="M20" s="3">
        <v>145</v>
      </c>
      <c r="N20" s="3">
        <v>90</v>
      </c>
      <c r="O20" s="3">
        <v>225</v>
      </c>
      <c r="P20" s="3">
        <v>335</v>
      </c>
      <c r="Q20" s="3">
        <v>5</v>
      </c>
      <c r="R20" s="2">
        <v>80</v>
      </c>
      <c r="S20" s="2">
        <v>215</v>
      </c>
      <c r="T20" s="2">
        <v>296</v>
      </c>
      <c r="U20" s="2">
        <v>5</v>
      </c>
      <c r="V20" s="2">
        <v>100</v>
      </c>
      <c r="W20" s="2">
        <v>240</v>
      </c>
      <c r="X20" s="2">
        <v>306</v>
      </c>
      <c r="Y20" s="2">
        <v>5</v>
      </c>
      <c r="Z20" s="2">
        <v>70</v>
      </c>
      <c r="AA20" s="2">
        <v>225</v>
      </c>
      <c r="AB20" s="2">
        <v>651</v>
      </c>
      <c r="AC20" s="2">
        <v>5</v>
      </c>
      <c r="AD20" s="2">
        <v>56</v>
      </c>
      <c r="AE20" s="2">
        <v>190</v>
      </c>
      <c r="AF20" s="2">
        <v>512</v>
      </c>
      <c r="AG20" s="2">
        <v>5</v>
      </c>
      <c r="AH20" s="2">
        <v>90</v>
      </c>
      <c r="AI20" s="2"/>
      <c r="AJ20" s="2">
        <v>215</v>
      </c>
    </row>
    <row r="21" spans="1:36" ht="16.5" customHeight="1" x14ac:dyDescent="0.3">
      <c r="A21" s="78"/>
      <c r="B21" s="69" t="s">
        <v>10</v>
      </c>
      <c r="C21" s="70"/>
      <c r="D21" s="10">
        <f t="shared" si="0"/>
        <v>2338</v>
      </c>
      <c r="E21" s="3">
        <v>90</v>
      </c>
      <c r="F21" s="3">
        <v>49</v>
      </c>
      <c r="G21" s="3">
        <v>43</v>
      </c>
      <c r="H21" s="3">
        <v>130</v>
      </c>
      <c r="I21" s="3">
        <v>90</v>
      </c>
      <c r="J21" s="3">
        <v>53</v>
      </c>
      <c r="K21" s="3">
        <v>26</v>
      </c>
      <c r="L21" s="3">
        <v>128</v>
      </c>
      <c r="M21" s="3">
        <v>52</v>
      </c>
      <c r="N21" s="3">
        <v>55</v>
      </c>
      <c r="O21" s="3">
        <v>61</v>
      </c>
      <c r="P21" s="3">
        <v>126</v>
      </c>
      <c r="Q21" s="3">
        <v>90</v>
      </c>
      <c r="R21" s="2">
        <v>53</v>
      </c>
      <c r="S21" s="2">
        <v>48</v>
      </c>
      <c r="T21" s="2">
        <v>129</v>
      </c>
      <c r="U21" s="2">
        <v>90</v>
      </c>
      <c r="V21" s="2">
        <v>63</v>
      </c>
      <c r="W21" s="2">
        <v>48</v>
      </c>
      <c r="X21" s="2">
        <v>133</v>
      </c>
      <c r="Y21" s="2">
        <v>90</v>
      </c>
      <c r="Z21" s="2">
        <v>53</v>
      </c>
      <c r="AA21" s="2">
        <v>44</v>
      </c>
      <c r="AB21" s="2">
        <v>151</v>
      </c>
      <c r="AC21" s="2">
        <v>90</v>
      </c>
      <c r="AD21" s="2">
        <v>55</v>
      </c>
      <c r="AE21" s="2">
        <v>40</v>
      </c>
      <c r="AF21" s="2">
        <v>111</v>
      </c>
      <c r="AG21" s="2">
        <v>90</v>
      </c>
      <c r="AH21" s="2">
        <v>57</v>
      </c>
      <c r="AI21" s="2"/>
      <c r="AJ21" s="2">
        <v>36</v>
      </c>
    </row>
    <row r="22" spans="1:36" ht="16.5" customHeight="1" x14ac:dyDescent="0.3">
      <c r="A22" s="79"/>
      <c r="B22" s="69" t="s">
        <v>36</v>
      </c>
      <c r="C22" s="70"/>
      <c r="D22" s="10">
        <f t="shared" si="0"/>
        <v>162</v>
      </c>
      <c r="E22" s="3">
        <v>27</v>
      </c>
      <c r="F22" s="3"/>
      <c r="G22" s="3"/>
      <c r="H22" s="3"/>
      <c r="I22" s="3">
        <v>27</v>
      </c>
      <c r="J22" s="3"/>
      <c r="K22" s="3"/>
      <c r="L22" s="3"/>
      <c r="M22" s="3"/>
      <c r="N22" s="3"/>
      <c r="O22" s="3"/>
      <c r="P22" s="3"/>
      <c r="Q22" s="3">
        <v>27</v>
      </c>
      <c r="R22" s="2"/>
      <c r="S22" s="2"/>
      <c r="T22" s="2"/>
      <c r="U22" s="2">
        <v>27</v>
      </c>
      <c r="V22" s="2"/>
      <c r="W22" s="2"/>
      <c r="X22" s="2"/>
      <c r="Y22" s="2">
        <v>27</v>
      </c>
      <c r="Z22" s="2"/>
      <c r="AA22" s="2"/>
      <c r="AB22" s="2"/>
      <c r="AC22" s="2">
        <v>27</v>
      </c>
      <c r="AD22" s="2"/>
      <c r="AE22" s="2"/>
      <c r="AF22" s="2"/>
      <c r="AG22" s="2"/>
      <c r="AH22" s="2"/>
      <c r="AI22" s="2"/>
      <c r="AJ22" s="2"/>
    </row>
    <row r="23" spans="1:36" ht="16.5" customHeight="1" x14ac:dyDescent="0.3">
      <c r="A23" s="71" t="s">
        <v>4</v>
      </c>
      <c r="B23" s="72"/>
      <c r="C23" s="73"/>
      <c r="D23" s="10">
        <f>SUM(D6:D22)</f>
        <v>187943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 ht="16.5" hidden="1" customHeight="1" x14ac:dyDescent="0.3">
      <c r="A24" s="77" t="s">
        <v>24</v>
      </c>
      <c r="B24" s="77" t="s">
        <v>0</v>
      </c>
      <c r="C24" s="15" t="s">
        <v>51</v>
      </c>
      <c r="D24" s="10">
        <f t="shared" ref="D24:D45" si="1">SUM(E24:AF24)</f>
        <v>6963</v>
      </c>
      <c r="E24" s="3">
        <f>SUM(E6:E23)</f>
        <v>6963</v>
      </c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6.5" hidden="1" customHeight="1" x14ac:dyDescent="0.3">
      <c r="A25" s="78"/>
      <c r="B25" s="78"/>
      <c r="C25" s="15" t="s">
        <v>26</v>
      </c>
      <c r="D25" s="10">
        <f t="shared" si="1"/>
        <v>0</v>
      </c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6.5" hidden="1" customHeight="1" x14ac:dyDescent="0.3">
      <c r="A26" s="78"/>
      <c r="B26" s="78"/>
      <c r="C26" s="15" t="s">
        <v>35</v>
      </c>
      <c r="D26" s="10">
        <f t="shared" si="1"/>
        <v>0</v>
      </c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ht="16.5" hidden="1" customHeight="1" x14ac:dyDescent="0.3">
      <c r="A27" s="78"/>
      <c r="B27" s="78"/>
      <c r="C27" s="15" t="s">
        <v>48</v>
      </c>
      <c r="D27" s="10">
        <f t="shared" si="1"/>
        <v>0</v>
      </c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ht="16.5" hidden="1" customHeight="1" x14ac:dyDescent="0.3">
      <c r="A28" s="78"/>
      <c r="B28" s="78"/>
      <c r="C28" s="15" t="s">
        <v>41</v>
      </c>
      <c r="D28" s="10">
        <f t="shared" si="1"/>
        <v>0</v>
      </c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ht="16.5" hidden="1" customHeight="1" x14ac:dyDescent="0.3">
      <c r="A29" s="78"/>
      <c r="B29" s="78"/>
      <c r="C29" s="15" t="s">
        <v>28</v>
      </c>
      <c r="D29" s="10">
        <f t="shared" si="1"/>
        <v>0</v>
      </c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ht="16.5" hidden="1" customHeight="1" x14ac:dyDescent="0.3">
      <c r="A30" s="78"/>
      <c r="B30" s="78"/>
      <c r="C30" s="15" t="s">
        <v>40</v>
      </c>
      <c r="D30" s="10">
        <f t="shared" si="1"/>
        <v>0</v>
      </c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ht="16.5" hidden="1" customHeight="1" x14ac:dyDescent="0.3">
      <c r="A31" s="78"/>
      <c r="B31" s="78"/>
      <c r="C31" s="15" t="s">
        <v>38</v>
      </c>
      <c r="D31" s="10">
        <f t="shared" si="1"/>
        <v>0</v>
      </c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6.5" hidden="1" customHeight="1" x14ac:dyDescent="0.3">
      <c r="A32" s="78"/>
      <c r="B32" s="78"/>
      <c r="C32" s="15" t="s">
        <v>12</v>
      </c>
      <c r="D32" s="10">
        <f t="shared" si="1"/>
        <v>0</v>
      </c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ht="16.5" hidden="1" customHeight="1" x14ac:dyDescent="0.3">
      <c r="A33" s="78"/>
      <c r="B33" s="78"/>
      <c r="C33" s="15" t="s">
        <v>44</v>
      </c>
      <c r="D33" s="10">
        <f t="shared" si="1"/>
        <v>0</v>
      </c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ht="16.5" hidden="1" customHeight="1" x14ac:dyDescent="0.3">
      <c r="A34" s="78"/>
      <c r="B34" s="79"/>
      <c r="C34" s="15" t="s">
        <v>21</v>
      </c>
      <c r="D34" s="10">
        <f t="shared" si="1"/>
        <v>0</v>
      </c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ht="16.5" hidden="1" customHeight="1" x14ac:dyDescent="0.3">
      <c r="A35" s="78"/>
      <c r="B35" s="77" t="s">
        <v>13</v>
      </c>
      <c r="C35" s="15" t="s">
        <v>50</v>
      </c>
      <c r="D35" s="10">
        <f t="shared" si="1"/>
        <v>0</v>
      </c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ht="16.5" hidden="1" customHeight="1" x14ac:dyDescent="0.3">
      <c r="A36" s="78"/>
      <c r="B36" s="78"/>
      <c r="C36" s="15" t="s">
        <v>37</v>
      </c>
      <c r="D36" s="10">
        <f t="shared" si="1"/>
        <v>0</v>
      </c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ht="16.5" hidden="1" customHeight="1" x14ac:dyDescent="0.3">
      <c r="A37" s="78"/>
      <c r="B37" s="78"/>
      <c r="C37" s="15" t="s">
        <v>17</v>
      </c>
      <c r="D37" s="10">
        <f t="shared" si="1"/>
        <v>0</v>
      </c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ht="16.5" hidden="1" customHeight="1" x14ac:dyDescent="0.3">
      <c r="A38" s="78"/>
      <c r="B38" s="78"/>
      <c r="C38" s="15" t="s">
        <v>34</v>
      </c>
      <c r="D38" s="10">
        <f t="shared" si="1"/>
        <v>0</v>
      </c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ht="16.5" hidden="1" customHeight="1" x14ac:dyDescent="0.3">
      <c r="A39" s="78"/>
      <c r="B39" s="79"/>
      <c r="C39" s="15" t="s">
        <v>11</v>
      </c>
      <c r="D39" s="10">
        <f t="shared" si="1"/>
        <v>0</v>
      </c>
      <c r="E39" s="3"/>
      <c r="F39" s="3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ht="16.5" hidden="1" customHeight="1" x14ac:dyDescent="0.3">
      <c r="A40" s="78"/>
      <c r="B40" s="77" t="s">
        <v>9</v>
      </c>
      <c r="C40" s="15" t="s">
        <v>42</v>
      </c>
      <c r="D40" s="10">
        <f t="shared" si="1"/>
        <v>0</v>
      </c>
      <c r="E40" s="3"/>
      <c r="F40" s="3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ht="16.5" hidden="1" customHeight="1" x14ac:dyDescent="0.3">
      <c r="A41" s="78"/>
      <c r="B41" s="78"/>
      <c r="C41" s="15" t="s">
        <v>49</v>
      </c>
      <c r="D41" s="10">
        <f t="shared" si="1"/>
        <v>0</v>
      </c>
      <c r="E41" s="3"/>
      <c r="F41" s="3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ht="16.5" hidden="1" customHeight="1" x14ac:dyDescent="0.3">
      <c r="A42" s="78"/>
      <c r="B42" s="78"/>
      <c r="C42" s="15" t="s">
        <v>46</v>
      </c>
      <c r="D42" s="10">
        <f t="shared" si="1"/>
        <v>0</v>
      </c>
      <c r="E42" s="3"/>
      <c r="F42" s="3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ht="16.5" hidden="1" customHeight="1" x14ac:dyDescent="0.3">
      <c r="A43" s="78"/>
      <c r="B43" s="78"/>
      <c r="C43" s="15" t="s">
        <v>52</v>
      </c>
      <c r="D43" s="10">
        <f t="shared" si="1"/>
        <v>0</v>
      </c>
      <c r="E43" s="3"/>
      <c r="F43" s="3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ht="16.5" hidden="1" customHeight="1" x14ac:dyDescent="0.3">
      <c r="A44" s="78"/>
      <c r="B44" s="78"/>
      <c r="C44" s="15" t="s">
        <v>43</v>
      </c>
      <c r="D44" s="10">
        <f t="shared" si="1"/>
        <v>0</v>
      </c>
      <c r="E44" s="3"/>
      <c r="F44" s="3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ht="16.5" hidden="1" customHeight="1" x14ac:dyDescent="0.3">
      <c r="A45" s="78"/>
      <c r="B45" s="79"/>
      <c r="C45" s="15" t="s">
        <v>30</v>
      </c>
      <c r="D45" s="10">
        <f t="shared" si="1"/>
        <v>0</v>
      </c>
      <c r="E45" s="3"/>
      <c r="F45" s="3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3">
      <c r="A46" s="78"/>
      <c r="B46" s="77" t="s">
        <v>7</v>
      </c>
      <c r="C46" s="14" t="s">
        <v>33</v>
      </c>
      <c r="D46" s="10">
        <f>SUM(E46:AH46)</f>
        <v>0</v>
      </c>
      <c r="E46" s="3"/>
      <c r="F46" s="3"/>
      <c r="G46" s="1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x14ac:dyDescent="0.3">
      <c r="A47" s="79"/>
      <c r="B47" s="79"/>
      <c r="C47" s="14" t="s">
        <v>15</v>
      </c>
      <c r="D47" s="10">
        <f>SUM(E47:AH47)</f>
        <v>76636</v>
      </c>
      <c r="E47" s="3">
        <v>3521</v>
      </c>
      <c r="F47" s="3">
        <v>2000</v>
      </c>
      <c r="G47" s="3">
        <v>2085</v>
      </c>
      <c r="H47" s="3">
        <v>2460</v>
      </c>
      <c r="I47" s="3">
        <v>4321</v>
      </c>
      <c r="J47" s="3">
        <v>1820</v>
      </c>
      <c r="K47" s="3">
        <v>1689</v>
      </c>
      <c r="L47" s="3">
        <v>2390</v>
      </c>
      <c r="M47" s="3">
        <v>2570</v>
      </c>
      <c r="N47" s="3">
        <v>2170</v>
      </c>
      <c r="O47" s="3">
        <v>2080</v>
      </c>
      <c r="P47" s="3">
        <v>3900</v>
      </c>
      <c r="Q47" s="3">
        <v>3121</v>
      </c>
      <c r="R47" s="2">
        <v>2230</v>
      </c>
      <c r="S47" s="2">
        <v>2005</v>
      </c>
      <c r="T47" s="2">
        <v>2380</v>
      </c>
      <c r="U47" s="2">
        <v>3121</v>
      </c>
      <c r="V47" s="2">
        <v>2450</v>
      </c>
      <c r="W47" s="2">
        <v>2235</v>
      </c>
      <c r="X47" s="2">
        <v>2390</v>
      </c>
      <c r="Y47" s="2">
        <v>3121</v>
      </c>
      <c r="Z47" s="2">
        <v>2300</v>
      </c>
      <c r="AA47" s="2">
        <v>2345</v>
      </c>
      <c r="AB47" s="2">
        <v>2445</v>
      </c>
      <c r="AC47" s="2">
        <v>3121</v>
      </c>
      <c r="AD47" s="2">
        <v>2650</v>
      </c>
      <c r="AE47" s="2">
        <v>2365</v>
      </c>
      <c r="AF47" s="2">
        <v>2160</v>
      </c>
      <c r="AG47" s="2">
        <v>2891</v>
      </c>
      <c r="AH47" s="2">
        <v>2300</v>
      </c>
      <c r="AI47" s="2"/>
      <c r="AJ47" s="2">
        <v>2485</v>
      </c>
    </row>
    <row r="48" spans="1:36" ht="16.5" customHeight="1" x14ac:dyDescent="0.3">
      <c r="A48" s="71" t="s">
        <v>4</v>
      </c>
      <c r="B48" s="72"/>
      <c r="C48" s="73"/>
      <c r="D48" s="10">
        <f>SUM(E48:AH48)</f>
        <v>76636</v>
      </c>
      <c r="E48" s="12">
        <v>3521</v>
      </c>
      <c r="F48" s="12">
        <v>2000</v>
      </c>
      <c r="G48" s="12">
        <v>2085</v>
      </c>
      <c r="H48" s="12">
        <v>2460</v>
      </c>
      <c r="I48" s="12">
        <v>4321</v>
      </c>
      <c r="J48" s="12">
        <v>1820</v>
      </c>
      <c r="K48" s="12">
        <v>1689</v>
      </c>
      <c r="L48" s="12">
        <v>2390</v>
      </c>
      <c r="M48" s="12">
        <v>2570</v>
      </c>
      <c r="N48" s="12">
        <v>2170</v>
      </c>
      <c r="O48" s="12">
        <v>2080</v>
      </c>
      <c r="P48" s="12">
        <v>3900</v>
      </c>
      <c r="Q48" s="12">
        <v>3121</v>
      </c>
      <c r="R48" s="12">
        <v>2230</v>
      </c>
      <c r="S48" s="12">
        <v>2005</v>
      </c>
      <c r="T48" s="12">
        <v>2380</v>
      </c>
      <c r="U48" s="12">
        <v>3121</v>
      </c>
      <c r="V48" s="12">
        <v>2450</v>
      </c>
      <c r="W48" s="12">
        <v>2235</v>
      </c>
      <c r="X48" s="12">
        <v>2390</v>
      </c>
      <c r="Y48" s="12">
        <v>3121</v>
      </c>
      <c r="Z48" s="12">
        <v>2300</v>
      </c>
      <c r="AA48" s="12">
        <v>2345</v>
      </c>
      <c r="AB48" s="12">
        <v>2445</v>
      </c>
      <c r="AC48" s="12">
        <v>3121</v>
      </c>
      <c r="AD48" s="12">
        <v>2650</v>
      </c>
      <c r="AE48" s="12">
        <v>2365</v>
      </c>
      <c r="AF48" s="12">
        <v>2160</v>
      </c>
      <c r="AG48" s="12">
        <v>2891</v>
      </c>
      <c r="AH48" s="12">
        <v>2300</v>
      </c>
      <c r="AI48" s="12"/>
      <c r="AJ48" s="12">
        <v>2485</v>
      </c>
    </row>
    <row r="49" spans="1:36" ht="16.5" customHeight="1" x14ac:dyDescent="0.3">
      <c r="A49" s="74" t="s">
        <v>74</v>
      </c>
      <c r="B49" s="75"/>
      <c r="C49" s="76"/>
      <c r="D49" s="11">
        <f>SUM(D23,D48)</f>
        <v>264579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5" sqref="E55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9.125" style="31" bestFit="1" customWidth="1"/>
    <col min="35" max="35" width="8.875" style="31" hidden="1" customWidth="1"/>
    <col min="36" max="36" width="9.12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90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57</v>
      </c>
      <c r="F4" s="36" t="s">
        <v>80</v>
      </c>
      <c r="G4" s="36" t="s">
        <v>81</v>
      </c>
      <c r="H4" s="36" t="s">
        <v>75</v>
      </c>
      <c r="I4" s="36" t="s">
        <v>76</v>
      </c>
      <c r="J4" s="36" t="s">
        <v>77</v>
      </c>
      <c r="K4" s="36" t="s">
        <v>78</v>
      </c>
      <c r="L4" s="36" t="s">
        <v>79</v>
      </c>
      <c r="M4" s="36" t="s">
        <v>80</v>
      </c>
      <c r="N4" s="36" t="s">
        <v>81</v>
      </c>
      <c r="O4" s="36" t="s">
        <v>75</v>
      </c>
      <c r="P4" s="36" t="s">
        <v>76</v>
      </c>
      <c r="Q4" s="36" t="s">
        <v>77</v>
      </c>
      <c r="R4" s="36" t="s">
        <v>78</v>
      </c>
      <c r="S4" s="36" t="s">
        <v>79</v>
      </c>
      <c r="T4" s="36" t="s">
        <v>80</v>
      </c>
      <c r="U4" s="36" t="s">
        <v>81</v>
      </c>
      <c r="V4" s="36" t="s">
        <v>75</v>
      </c>
      <c r="W4" s="36" t="s">
        <v>76</v>
      </c>
      <c r="X4" s="36" t="s">
        <v>77</v>
      </c>
      <c r="Y4" s="36" t="s">
        <v>78</v>
      </c>
      <c r="Z4" s="36" t="s">
        <v>79</v>
      </c>
      <c r="AA4" s="36" t="s">
        <v>80</v>
      </c>
      <c r="AB4" s="36" t="s">
        <v>81</v>
      </c>
      <c r="AC4" s="36" t="s">
        <v>75</v>
      </c>
      <c r="AD4" s="36" t="s">
        <v>76</v>
      </c>
      <c r="AE4" s="36" t="s">
        <v>77</v>
      </c>
      <c r="AF4" s="36" t="s">
        <v>78</v>
      </c>
      <c r="AG4" s="36" t="s">
        <v>79</v>
      </c>
      <c r="AH4" s="36" t="s">
        <v>80</v>
      </c>
      <c r="AI4" s="36" t="s">
        <v>81</v>
      </c>
      <c r="AJ4" s="36" t="s">
        <v>59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66</v>
      </c>
      <c r="F5" s="38" t="s">
        <v>91</v>
      </c>
      <c r="G5" s="38" t="s">
        <v>66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  <c r="T5" s="38" t="s">
        <v>66</v>
      </c>
      <c r="U5" s="38" t="s">
        <v>65</v>
      </c>
      <c r="V5" s="38" t="s">
        <v>65</v>
      </c>
      <c r="W5" s="38" t="s">
        <v>65</v>
      </c>
      <c r="X5" s="38" t="s">
        <v>65</v>
      </c>
      <c r="Y5" s="38" t="s">
        <v>73</v>
      </c>
      <c r="Z5" s="38" t="s">
        <v>65</v>
      </c>
      <c r="AA5" s="38" t="s">
        <v>65</v>
      </c>
      <c r="AB5" s="38" t="s">
        <v>65</v>
      </c>
      <c r="AC5" s="38" t="s">
        <v>65</v>
      </c>
      <c r="AD5" s="38" t="s">
        <v>65</v>
      </c>
      <c r="AE5" s="38" t="s">
        <v>65</v>
      </c>
      <c r="AF5" s="38" t="s">
        <v>65</v>
      </c>
      <c r="AG5" s="38" t="s">
        <v>65</v>
      </c>
      <c r="AH5" s="38" t="s">
        <v>65</v>
      </c>
      <c r="AI5" s="38"/>
      <c r="AJ5" s="38" t="s">
        <v>65</v>
      </c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3780</v>
      </c>
      <c r="E6" s="40">
        <v>0</v>
      </c>
      <c r="F6" s="40">
        <v>400</v>
      </c>
      <c r="G6" s="40">
        <v>0</v>
      </c>
      <c r="H6" s="40">
        <v>120</v>
      </c>
      <c r="I6" s="40">
        <v>0</v>
      </c>
      <c r="J6" s="40">
        <v>400</v>
      </c>
      <c r="K6" s="40">
        <v>0</v>
      </c>
      <c r="L6" s="41">
        <v>120</v>
      </c>
      <c r="M6" s="41">
        <v>0</v>
      </c>
      <c r="N6" s="41">
        <v>400</v>
      </c>
      <c r="O6" s="42">
        <v>0</v>
      </c>
      <c r="P6" s="41">
        <v>120</v>
      </c>
      <c r="Q6" s="41">
        <v>0</v>
      </c>
      <c r="R6" s="43">
        <v>400</v>
      </c>
      <c r="S6" s="43">
        <v>0</v>
      </c>
      <c r="T6" s="43">
        <v>120</v>
      </c>
      <c r="U6" s="43">
        <v>0</v>
      </c>
      <c r="V6" s="43">
        <v>320</v>
      </c>
      <c r="W6" s="43">
        <v>0</v>
      </c>
      <c r="X6" s="43">
        <v>120</v>
      </c>
      <c r="Y6" s="43">
        <v>0</v>
      </c>
      <c r="Z6" s="43">
        <v>330</v>
      </c>
      <c r="AA6" s="43">
        <v>0</v>
      </c>
      <c r="AB6" s="43">
        <v>120</v>
      </c>
      <c r="AC6" s="43">
        <v>0</v>
      </c>
      <c r="AD6" s="43">
        <v>350</v>
      </c>
      <c r="AE6" s="43">
        <v>0</v>
      </c>
      <c r="AF6" s="43">
        <v>120</v>
      </c>
      <c r="AG6" s="43">
        <v>0</v>
      </c>
      <c r="AH6" s="44">
        <v>340</v>
      </c>
      <c r="AI6" s="43"/>
      <c r="AJ6" s="44">
        <v>0</v>
      </c>
    </row>
    <row r="7" spans="1:36" ht="16.5" customHeight="1" x14ac:dyDescent="0.3">
      <c r="A7" s="94"/>
      <c r="B7" s="98" t="s">
        <v>23</v>
      </c>
      <c r="C7" s="99"/>
      <c r="D7" s="39">
        <f t="shared" si="0"/>
        <v>47945</v>
      </c>
      <c r="E7" s="40">
        <v>3010</v>
      </c>
      <c r="F7" s="40">
        <v>1103</v>
      </c>
      <c r="G7" s="40">
        <v>1560</v>
      </c>
      <c r="H7" s="40">
        <v>1560</v>
      </c>
      <c r="I7" s="40">
        <v>1130</v>
      </c>
      <c r="J7" s="40">
        <v>880</v>
      </c>
      <c r="K7" s="40">
        <v>900</v>
      </c>
      <c r="L7" s="41">
        <v>1900</v>
      </c>
      <c r="M7" s="41">
        <v>2010</v>
      </c>
      <c r="N7" s="41">
        <v>2503</v>
      </c>
      <c r="O7" s="41">
        <v>1500</v>
      </c>
      <c r="P7" s="41">
        <v>2000</v>
      </c>
      <c r="Q7" s="41">
        <v>2050</v>
      </c>
      <c r="R7" s="43">
        <v>1303</v>
      </c>
      <c r="S7" s="43">
        <v>1500</v>
      </c>
      <c r="T7" s="43">
        <v>1900</v>
      </c>
      <c r="U7" s="43">
        <v>2000</v>
      </c>
      <c r="V7" s="43">
        <v>1790</v>
      </c>
      <c r="W7" s="43">
        <v>900</v>
      </c>
      <c r="X7" s="43">
        <v>2000</v>
      </c>
      <c r="Y7" s="43">
        <v>2020</v>
      </c>
      <c r="Z7" s="43">
        <v>1303</v>
      </c>
      <c r="AA7" s="43">
        <v>800</v>
      </c>
      <c r="AB7" s="43">
        <v>2500</v>
      </c>
      <c r="AC7" s="43">
        <v>2000</v>
      </c>
      <c r="AD7" s="43">
        <v>1090</v>
      </c>
      <c r="AE7" s="43">
        <v>750</v>
      </c>
      <c r="AF7" s="43">
        <v>680</v>
      </c>
      <c r="AG7" s="43">
        <v>2000</v>
      </c>
      <c r="AH7" s="43">
        <v>1303</v>
      </c>
      <c r="AI7" s="43"/>
      <c r="AJ7" s="43">
        <v>950</v>
      </c>
    </row>
    <row r="8" spans="1:36" ht="16.5" customHeight="1" x14ac:dyDescent="0.3">
      <c r="A8" s="94"/>
      <c r="B8" s="98" t="s">
        <v>25</v>
      </c>
      <c r="C8" s="99"/>
      <c r="D8" s="39">
        <f t="shared" si="0"/>
        <v>59082</v>
      </c>
      <c r="E8" s="40">
        <v>2250</v>
      </c>
      <c r="F8" s="40">
        <v>3470</v>
      </c>
      <c r="G8" s="40">
        <v>2486</v>
      </c>
      <c r="H8" s="40">
        <v>920</v>
      </c>
      <c r="I8" s="40">
        <v>1700</v>
      </c>
      <c r="J8" s="40">
        <v>2770</v>
      </c>
      <c r="K8" s="40">
        <v>2306</v>
      </c>
      <c r="L8" s="41">
        <v>920</v>
      </c>
      <c r="M8" s="41">
        <v>2200</v>
      </c>
      <c r="N8" s="41">
        <v>3480</v>
      </c>
      <c r="O8" s="41">
        <v>2806</v>
      </c>
      <c r="P8" s="41">
        <v>920</v>
      </c>
      <c r="Q8" s="41">
        <v>1700</v>
      </c>
      <c r="R8" s="43">
        <v>3480</v>
      </c>
      <c r="S8" s="43">
        <v>1606</v>
      </c>
      <c r="T8" s="43">
        <v>870</v>
      </c>
      <c r="U8" s="43">
        <v>2200</v>
      </c>
      <c r="V8" s="43">
        <v>2580</v>
      </c>
      <c r="W8" s="43">
        <v>1606</v>
      </c>
      <c r="X8" s="43">
        <v>670</v>
      </c>
      <c r="Y8" s="43">
        <v>2000</v>
      </c>
      <c r="Z8" s="43">
        <v>2320</v>
      </c>
      <c r="AA8" s="43">
        <v>1456</v>
      </c>
      <c r="AB8" s="43">
        <v>870</v>
      </c>
      <c r="AC8" s="43">
        <v>2500</v>
      </c>
      <c r="AD8" s="43">
        <v>2190</v>
      </c>
      <c r="AE8" s="43">
        <v>1456</v>
      </c>
      <c r="AF8" s="43">
        <v>870</v>
      </c>
      <c r="AG8" s="43">
        <v>2200</v>
      </c>
      <c r="AH8" s="43">
        <v>2280</v>
      </c>
      <c r="AI8" s="43"/>
      <c r="AJ8" s="43">
        <v>2356</v>
      </c>
    </row>
    <row r="9" spans="1:36" ht="16.5" customHeight="1" x14ac:dyDescent="0.3">
      <c r="A9" s="94"/>
      <c r="B9" s="98" t="s">
        <v>29</v>
      </c>
      <c r="C9" s="99"/>
      <c r="D9" s="39">
        <f t="shared" si="0"/>
        <v>60123</v>
      </c>
      <c r="E9" s="40">
        <f>480+1420</f>
        <v>1900</v>
      </c>
      <c r="F9" s="40">
        <f>2320+665</f>
        <v>2985</v>
      </c>
      <c r="G9" s="40">
        <f>1473+1080</f>
        <v>2553</v>
      </c>
      <c r="H9" s="45">
        <f>1050+1080</f>
        <v>2130</v>
      </c>
      <c r="I9" s="40">
        <f>320+1215</f>
        <v>1535</v>
      </c>
      <c r="J9" s="40">
        <f>650+2320</f>
        <v>2970</v>
      </c>
      <c r="K9" s="40">
        <f>1120+1473</f>
        <v>2593</v>
      </c>
      <c r="L9" s="41">
        <f>1050+360</f>
        <v>1410</v>
      </c>
      <c r="M9" s="41">
        <f>420+920</f>
        <v>1340</v>
      </c>
      <c r="N9" s="41">
        <f>2040+1765</f>
        <v>3805</v>
      </c>
      <c r="O9" s="41">
        <f>2093+1420</f>
        <v>3513</v>
      </c>
      <c r="P9" s="41">
        <f>420+1050</f>
        <v>1470</v>
      </c>
      <c r="Q9" s="41">
        <f>300+910</f>
        <v>1210</v>
      </c>
      <c r="R9" s="43">
        <f>2040+865</f>
        <v>2905</v>
      </c>
      <c r="S9" s="43">
        <f>993+1420</f>
        <v>2413</v>
      </c>
      <c r="T9" s="43">
        <f>1050+330</f>
        <v>1380</v>
      </c>
      <c r="U9" s="43">
        <f>320+810</f>
        <v>1130</v>
      </c>
      <c r="V9" s="43">
        <f>1590+1040</f>
        <v>2630</v>
      </c>
      <c r="W9" s="43">
        <f>950+973</f>
        <v>1923</v>
      </c>
      <c r="X9" s="43">
        <f>850+380</f>
        <v>1230</v>
      </c>
      <c r="Y9" s="43">
        <f>250+800</f>
        <v>1050</v>
      </c>
      <c r="Z9" s="43">
        <f>1660+835</f>
        <v>2495</v>
      </c>
      <c r="AA9" s="43">
        <f>630+950</f>
        <v>1580</v>
      </c>
      <c r="AB9" s="43">
        <f>1050+510</f>
        <v>1560</v>
      </c>
      <c r="AC9" s="43">
        <f>300+810</f>
        <v>1110</v>
      </c>
      <c r="AD9" s="43">
        <f>1630+790</f>
        <v>2420</v>
      </c>
      <c r="AE9" s="43">
        <f>633+900</f>
        <v>1533</v>
      </c>
      <c r="AF9" s="43">
        <f>1050+740</f>
        <v>1790</v>
      </c>
      <c r="AG9" s="43">
        <f>810+280</f>
        <v>1090</v>
      </c>
      <c r="AH9" s="43">
        <f>1635+835</f>
        <v>2470</v>
      </c>
      <c r="AI9" s="43"/>
      <c r="AJ9" s="43">
        <f>900+1463</f>
        <v>2363</v>
      </c>
    </row>
    <row r="10" spans="1:36" ht="16.5" customHeight="1" x14ac:dyDescent="0.3">
      <c r="A10" s="94"/>
      <c r="B10" s="96" t="s">
        <v>92</v>
      </c>
      <c r="C10" s="97"/>
      <c r="D10" s="39">
        <f t="shared" si="0"/>
        <v>0</v>
      </c>
      <c r="E10" s="40"/>
      <c r="F10" s="40"/>
      <c r="G10" s="40"/>
      <c r="H10" s="40"/>
      <c r="I10" s="40"/>
      <c r="J10" s="40"/>
      <c r="K10" s="40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0"/>
      <c r="F11" s="40"/>
      <c r="G11" s="40"/>
      <c r="H11" s="40"/>
      <c r="I11" s="40"/>
      <c r="J11" s="40"/>
      <c r="K11" s="40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0"/>
      <c r="F12" s="40"/>
      <c r="G12" s="40"/>
      <c r="H12" s="40"/>
      <c r="I12" s="40"/>
      <c r="J12" s="40"/>
      <c r="K12" s="40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0"/>
      <c r="F13" s="40"/>
      <c r="G13" s="40"/>
      <c r="H13" s="40"/>
      <c r="I13" s="40"/>
      <c r="J13" s="40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0"/>
      <c r="F14" s="40"/>
      <c r="G14" s="40"/>
      <c r="H14" s="40"/>
      <c r="I14" s="40"/>
      <c r="J14" s="40"/>
      <c r="K14" s="40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0"/>
      <c r="F15" s="40"/>
      <c r="G15" s="40"/>
      <c r="H15" s="40"/>
      <c r="I15" s="40"/>
      <c r="J15" s="40"/>
      <c r="K15" s="40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0"/>
      <c r="F16" s="40"/>
      <c r="G16" s="40"/>
      <c r="H16" s="40"/>
      <c r="I16" s="40"/>
      <c r="J16" s="40"/>
      <c r="K16" s="40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0"/>
      <c r="F17" s="40"/>
      <c r="G17" s="40"/>
      <c r="H17" s="40"/>
      <c r="I17" s="40"/>
      <c r="J17" s="40"/>
      <c r="K17" s="40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6.5" customHeight="1" x14ac:dyDescent="0.3">
      <c r="A18" s="94"/>
      <c r="B18" s="98" t="s">
        <v>1</v>
      </c>
      <c r="C18" s="99"/>
      <c r="D18" s="39">
        <f t="shared" si="0"/>
        <v>117160</v>
      </c>
      <c r="E18" s="40">
        <f>2830+2860</f>
        <v>5690</v>
      </c>
      <c r="F18" s="40">
        <f>3700+1300</f>
        <v>5000</v>
      </c>
      <c r="G18" s="40">
        <f>2265+1610</f>
        <v>3875</v>
      </c>
      <c r="H18" s="40">
        <f>1020+1610</f>
        <v>2630</v>
      </c>
      <c r="I18" s="40">
        <f>1760+2230</f>
        <v>3990</v>
      </c>
      <c r="J18" s="40">
        <f>3200+960</f>
        <v>4160</v>
      </c>
      <c r="K18" s="40">
        <f>1330+2115</f>
        <v>3445</v>
      </c>
      <c r="L18" s="41">
        <f>1020+2100</f>
        <v>3120</v>
      </c>
      <c r="M18" s="41">
        <f>1860+2580</f>
        <v>4440</v>
      </c>
      <c r="N18" s="41">
        <f>2500+3600</f>
        <v>6100</v>
      </c>
      <c r="O18" s="41">
        <f>1330+2615</f>
        <v>3945</v>
      </c>
      <c r="P18" s="41">
        <f>1020+1900</f>
        <v>2920</v>
      </c>
      <c r="Q18" s="41">
        <f>2080+1890</f>
        <v>3970</v>
      </c>
      <c r="R18" s="43">
        <f>3600+1750</f>
        <v>5350</v>
      </c>
      <c r="S18" s="43">
        <f>1715+1330</f>
        <v>3045</v>
      </c>
      <c r="T18" s="43">
        <f>2100+1020</f>
        <v>3120</v>
      </c>
      <c r="U18" s="43">
        <f>1890+2680</f>
        <v>4570</v>
      </c>
      <c r="V18" s="43">
        <f>3000+1410</f>
        <v>4410</v>
      </c>
      <c r="W18" s="43">
        <f>1615+1150</f>
        <v>2765</v>
      </c>
      <c r="X18" s="43">
        <f>2200+1020</f>
        <v>3220</v>
      </c>
      <c r="Y18" s="43">
        <f>1870+2280</f>
        <v>4150</v>
      </c>
      <c r="Z18" s="43">
        <f>2950+1550</f>
        <v>4500</v>
      </c>
      <c r="AA18" s="43">
        <f>1000+1265</f>
        <v>2265</v>
      </c>
      <c r="AB18" s="43">
        <f>1020+3200</f>
        <v>4220</v>
      </c>
      <c r="AC18" s="43">
        <f>2880+1890</f>
        <v>4770</v>
      </c>
      <c r="AD18" s="43">
        <f>2900+1410</f>
        <v>4310</v>
      </c>
      <c r="AE18" s="43">
        <f>1000+1265</f>
        <v>2265</v>
      </c>
      <c r="AF18" s="43">
        <f>1380+1020</f>
        <v>2400</v>
      </c>
      <c r="AG18" s="43">
        <f>1890+2180</f>
        <v>4070</v>
      </c>
      <c r="AH18" s="43">
        <f>1550+2895</f>
        <v>4445</v>
      </c>
      <c r="AI18" s="43"/>
      <c r="AJ18" s="43">
        <f>1765+1400</f>
        <v>3165</v>
      </c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0"/>
      <c r="F19" s="40"/>
      <c r="G19" s="40"/>
      <c r="H19" s="40"/>
      <c r="I19" s="40"/>
      <c r="J19" s="40"/>
      <c r="K19" s="40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6.5" customHeight="1" x14ac:dyDescent="0.3">
      <c r="A20" s="94"/>
      <c r="B20" s="98" t="s">
        <v>16</v>
      </c>
      <c r="C20" s="99"/>
      <c r="D20" s="39">
        <f t="shared" si="0"/>
        <v>14828</v>
      </c>
      <c r="E20" s="40">
        <f>350+105</f>
        <v>455</v>
      </c>
      <c r="F20" s="40">
        <f>180+240</f>
        <v>420</v>
      </c>
      <c r="G20" s="40">
        <f>565+290</f>
        <v>855</v>
      </c>
      <c r="H20" s="40">
        <f>290+210</f>
        <v>500</v>
      </c>
      <c r="I20" s="40">
        <f>240+265</f>
        <v>505</v>
      </c>
      <c r="J20" s="40">
        <v>240</v>
      </c>
      <c r="K20" s="40">
        <f>210+565</f>
        <v>775</v>
      </c>
      <c r="L20" s="41">
        <f>210+290</f>
        <v>500</v>
      </c>
      <c r="M20" s="41">
        <f>95+280</f>
        <v>375</v>
      </c>
      <c r="N20" s="41">
        <f>650+240</f>
        <v>890</v>
      </c>
      <c r="O20" s="41">
        <f>765+210</f>
        <v>975</v>
      </c>
      <c r="P20" s="41">
        <f>350+210</f>
        <v>560</v>
      </c>
      <c r="Q20" s="41">
        <f>260+111</f>
        <v>371</v>
      </c>
      <c r="R20" s="43">
        <f>180+240</f>
        <v>420</v>
      </c>
      <c r="S20" s="43">
        <f>210+415</f>
        <v>625</v>
      </c>
      <c r="T20" s="43">
        <f>290+210</f>
        <v>500</v>
      </c>
      <c r="U20" s="43">
        <f>280+111</f>
        <v>391</v>
      </c>
      <c r="V20" s="43">
        <f>180+0</f>
        <v>180</v>
      </c>
      <c r="W20" s="43">
        <f>210+315</f>
        <v>525</v>
      </c>
      <c r="X20" s="43">
        <f>210+320</f>
        <v>530</v>
      </c>
      <c r="Y20" s="43">
        <f>111+240</f>
        <v>351</v>
      </c>
      <c r="Z20" s="43">
        <f>168+154</f>
        <v>322</v>
      </c>
      <c r="AA20" s="43">
        <f>210+315</f>
        <v>525</v>
      </c>
      <c r="AB20" s="43">
        <f>530+210</f>
        <v>740</v>
      </c>
      <c r="AC20" s="43">
        <f>111+410</f>
        <v>521</v>
      </c>
      <c r="AD20" s="43">
        <v>151</v>
      </c>
      <c r="AE20" s="43">
        <f>315+210</f>
        <v>525</v>
      </c>
      <c r="AF20" s="43">
        <f>180+210</f>
        <v>390</v>
      </c>
      <c r="AG20" s="43">
        <f>111+290</f>
        <v>401</v>
      </c>
      <c r="AH20" s="43">
        <f>156+154</f>
        <v>310</v>
      </c>
      <c r="AI20" s="43"/>
      <c r="AJ20" s="43">
        <f>595+600</f>
        <v>1195</v>
      </c>
    </row>
    <row r="21" spans="1:36" ht="16.5" customHeight="1" x14ac:dyDescent="0.3">
      <c r="A21" s="94"/>
      <c r="B21" s="98" t="s">
        <v>10</v>
      </c>
      <c r="C21" s="99"/>
      <c r="D21" s="39">
        <f t="shared" si="0"/>
        <v>10119</v>
      </c>
      <c r="E21" s="40">
        <f>170+59</f>
        <v>229</v>
      </c>
      <c r="F21" s="40">
        <f>214+140</f>
        <v>354</v>
      </c>
      <c r="G21" s="40">
        <f>375+198</f>
        <v>573</v>
      </c>
      <c r="H21" s="40">
        <f>198+180</f>
        <v>378</v>
      </c>
      <c r="I21" s="40">
        <f>59+110</f>
        <v>169</v>
      </c>
      <c r="J21" s="40">
        <v>264</v>
      </c>
      <c r="K21" s="40">
        <f>375+210</f>
        <v>585</v>
      </c>
      <c r="L21" s="41">
        <f>180+110</f>
        <v>290</v>
      </c>
      <c r="M21" s="41">
        <f>26+160</f>
        <v>186</v>
      </c>
      <c r="N21" s="41">
        <f>570+241</f>
        <v>811</v>
      </c>
      <c r="O21" s="41">
        <f>210+375</f>
        <v>585</v>
      </c>
      <c r="P21" s="41">
        <f>180+100</f>
        <v>280</v>
      </c>
      <c r="Q21" s="41">
        <f>31+110</f>
        <v>141</v>
      </c>
      <c r="R21" s="43">
        <f>140+214</f>
        <v>354</v>
      </c>
      <c r="S21" s="43">
        <f>375+210</f>
        <v>585</v>
      </c>
      <c r="T21" s="43">
        <f>120+180</f>
        <v>300</v>
      </c>
      <c r="U21" s="43">
        <f>31+130</f>
        <v>161</v>
      </c>
      <c r="V21" s="43">
        <f>110+171</f>
        <v>281</v>
      </c>
      <c r="W21" s="43">
        <f>210+205</f>
        <v>415</v>
      </c>
      <c r="X21" s="43">
        <f>180+100</f>
        <v>280</v>
      </c>
      <c r="Y21" s="43">
        <f>110+31</f>
        <v>141</v>
      </c>
      <c r="Z21" s="43">
        <f>140+152</f>
        <v>292</v>
      </c>
      <c r="AA21" s="43">
        <f>210+205</f>
        <v>415</v>
      </c>
      <c r="AB21" s="43">
        <f>180+200</f>
        <v>380</v>
      </c>
      <c r="AC21" s="43">
        <f>31+190</f>
        <v>221</v>
      </c>
      <c r="AD21" s="43">
        <f>110+109</f>
        <v>219</v>
      </c>
      <c r="AE21" s="43">
        <f>210+205</f>
        <v>415</v>
      </c>
      <c r="AF21" s="43">
        <f>180+190</f>
        <v>370</v>
      </c>
      <c r="AG21" s="43">
        <f>160+31</f>
        <v>191</v>
      </c>
      <c r="AH21" s="43">
        <f>140+114</f>
        <v>254</v>
      </c>
      <c r="AI21" s="43"/>
      <c r="AJ21" s="43">
        <f>205+600</f>
        <v>805</v>
      </c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0"/>
      <c r="F22" s="40"/>
      <c r="G22" s="40"/>
      <c r="H22" s="40"/>
      <c r="I22" s="40"/>
      <c r="J22" s="40"/>
      <c r="K22" s="40"/>
      <c r="L22" s="41"/>
      <c r="M22" s="41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6.5" customHeight="1" x14ac:dyDescent="0.3">
      <c r="A23" s="88" t="s">
        <v>4</v>
      </c>
      <c r="B23" s="89"/>
      <c r="C23" s="90"/>
      <c r="D23" s="39">
        <f t="shared" si="0"/>
        <v>312237</v>
      </c>
      <c r="E23" s="35">
        <f>3010+2250+1900+5690+455+229</f>
        <v>13534</v>
      </c>
      <c r="F23" s="35">
        <f>400+1103+3470+2985+5000+420+354</f>
        <v>13732</v>
      </c>
      <c r="G23" s="35">
        <f>1560+2486+2553+3875+855+573</f>
        <v>11902</v>
      </c>
      <c r="H23" s="35">
        <f>120+1560+920+2130+2630+500+378</f>
        <v>8238</v>
      </c>
      <c r="I23" s="35">
        <f>1130+1700+1535+3990+505+169</f>
        <v>9029</v>
      </c>
      <c r="J23" s="35">
        <f>400+880+2770+2970+4160+240+264</f>
        <v>11684</v>
      </c>
      <c r="K23" s="35">
        <f>900+2306+2593+3445+775+585</f>
        <v>10604</v>
      </c>
      <c r="L23" s="46">
        <f>120+1900+920+1410+3120+500+290</f>
        <v>8260</v>
      </c>
      <c r="M23" s="46">
        <f>2010+2200+1340+4440+375+186</f>
        <v>10551</v>
      </c>
      <c r="N23" s="46">
        <f>400+2503+3480+3805+6100+890+811</f>
        <v>17989</v>
      </c>
      <c r="O23" s="46">
        <f>1500+2806+3513+3945+975+585</f>
        <v>13324</v>
      </c>
      <c r="P23" s="46">
        <f>120+1200+920+1470+2920+560+280</f>
        <v>7470</v>
      </c>
      <c r="Q23" s="46">
        <f>2050+1700+1210+3970+371+141</f>
        <v>9442</v>
      </c>
      <c r="R23" s="46">
        <f>400+1303+3480+2905+5350+420+354</f>
        <v>14212</v>
      </c>
      <c r="S23" s="46">
        <f>SUM(S6:S22)</f>
        <v>9774</v>
      </c>
      <c r="T23" s="46">
        <f t="shared" ref="T23:AJ23" si="1">SUM(T6:T22)</f>
        <v>8190</v>
      </c>
      <c r="U23" s="46">
        <f t="shared" si="1"/>
        <v>10452</v>
      </c>
      <c r="V23" s="46">
        <f t="shared" si="1"/>
        <v>12191</v>
      </c>
      <c r="W23" s="46">
        <f t="shared" si="1"/>
        <v>8134</v>
      </c>
      <c r="X23" s="46">
        <f t="shared" si="1"/>
        <v>8050</v>
      </c>
      <c r="Y23" s="46">
        <f t="shared" si="1"/>
        <v>9712</v>
      </c>
      <c r="Z23" s="46">
        <f t="shared" si="1"/>
        <v>11562</v>
      </c>
      <c r="AA23" s="46">
        <f t="shared" si="1"/>
        <v>7041</v>
      </c>
      <c r="AB23" s="46">
        <f t="shared" si="1"/>
        <v>10390</v>
      </c>
      <c r="AC23" s="46">
        <f t="shared" si="1"/>
        <v>11122</v>
      </c>
      <c r="AD23" s="46">
        <f t="shared" si="1"/>
        <v>10730</v>
      </c>
      <c r="AE23" s="46">
        <f t="shared" si="1"/>
        <v>6944</v>
      </c>
      <c r="AF23" s="46">
        <f t="shared" si="1"/>
        <v>6620</v>
      </c>
      <c r="AG23" s="46">
        <f t="shared" si="1"/>
        <v>9952</v>
      </c>
      <c r="AH23" s="46">
        <f t="shared" si="1"/>
        <v>11402</v>
      </c>
      <c r="AI23" s="46">
        <f t="shared" si="1"/>
        <v>0</v>
      </c>
      <c r="AJ23" s="46">
        <f t="shared" si="1"/>
        <v>10834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0"/>
      <c r="F24" s="40"/>
      <c r="G24" s="35"/>
      <c r="H24" s="40"/>
      <c r="I24" s="40"/>
      <c r="J24" s="40"/>
      <c r="K24" s="40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0"/>
      <c r="F25" s="40"/>
      <c r="G25" s="35"/>
      <c r="H25" s="40"/>
      <c r="I25" s="40"/>
      <c r="J25" s="40"/>
      <c r="K25" s="40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0"/>
      <c r="F26" s="40"/>
      <c r="G26" s="35"/>
      <c r="H26" s="40"/>
      <c r="I26" s="40"/>
      <c r="J26" s="40"/>
      <c r="K26" s="40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0"/>
      <c r="F27" s="40"/>
      <c r="G27" s="35"/>
      <c r="H27" s="40"/>
      <c r="I27" s="40"/>
      <c r="J27" s="40"/>
      <c r="K27" s="40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0"/>
      <c r="F28" s="40"/>
      <c r="G28" s="35"/>
      <c r="H28" s="40"/>
      <c r="I28" s="40"/>
      <c r="J28" s="40"/>
      <c r="K28" s="40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0"/>
      <c r="F29" s="40"/>
      <c r="G29" s="35"/>
      <c r="H29" s="40"/>
      <c r="I29" s="40"/>
      <c r="J29" s="40"/>
      <c r="K29" s="40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0"/>
      <c r="F30" s="40"/>
      <c r="G30" s="35"/>
      <c r="H30" s="40"/>
      <c r="I30" s="40"/>
      <c r="J30" s="40"/>
      <c r="K30" s="40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0"/>
      <c r="F31" s="40"/>
      <c r="G31" s="35"/>
      <c r="H31" s="40"/>
      <c r="I31" s="40"/>
      <c r="J31" s="40"/>
      <c r="K31" s="40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0"/>
      <c r="F32" s="40"/>
      <c r="G32" s="35"/>
      <c r="H32" s="40"/>
      <c r="I32" s="40"/>
      <c r="J32" s="40"/>
      <c r="K32" s="40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0"/>
      <c r="F33" s="40"/>
      <c r="G33" s="35"/>
      <c r="H33" s="40"/>
      <c r="I33" s="40"/>
      <c r="J33" s="40"/>
      <c r="K33" s="40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0"/>
      <c r="F34" s="40"/>
      <c r="G34" s="35"/>
      <c r="H34" s="40"/>
      <c r="I34" s="40"/>
      <c r="J34" s="40"/>
      <c r="K34" s="40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0"/>
      <c r="F35" s="40"/>
      <c r="G35" s="35"/>
      <c r="H35" s="40"/>
      <c r="I35" s="40"/>
      <c r="J35" s="40"/>
      <c r="K35" s="40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0"/>
      <c r="F36" s="40"/>
      <c r="G36" s="35"/>
      <c r="H36" s="40"/>
      <c r="I36" s="40"/>
      <c r="J36" s="40"/>
      <c r="K36" s="40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0"/>
      <c r="F37" s="40"/>
      <c r="G37" s="35"/>
      <c r="H37" s="40"/>
      <c r="I37" s="40"/>
      <c r="J37" s="40"/>
      <c r="K37" s="40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0"/>
      <c r="F38" s="40"/>
      <c r="G38" s="35"/>
      <c r="H38" s="40"/>
      <c r="I38" s="40"/>
      <c r="J38" s="40"/>
      <c r="K38" s="40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0"/>
      <c r="F39" s="40"/>
      <c r="G39" s="35"/>
      <c r="H39" s="40"/>
      <c r="I39" s="40"/>
      <c r="J39" s="40"/>
      <c r="K39" s="40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0"/>
      <c r="F40" s="40"/>
      <c r="G40" s="35"/>
      <c r="H40" s="40"/>
      <c r="I40" s="40"/>
      <c r="J40" s="40"/>
      <c r="K40" s="40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0"/>
      <c r="F41" s="40"/>
      <c r="G41" s="35"/>
      <c r="H41" s="40"/>
      <c r="I41" s="40"/>
      <c r="J41" s="40"/>
      <c r="K41" s="40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0"/>
      <c r="F42" s="40"/>
      <c r="G42" s="35"/>
      <c r="H42" s="40"/>
      <c r="I42" s="40"/>
      <c r="J42" s="40"/>
      <c r="K42" s="40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0"/>
      <c r="F43" s="40"/>
      <c r="G43" s="35"/>
      <c r="H43" s="40"/>
      <c r="I43" s="40"/>
      <c r="J43" s="40"/>
      <c r="K43" s="40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0"/>
      <c r="F44" s="40"/>
      <c r="G44" s="35"/>
      <c r="H44" s="40"/>
      <c r="I44" s="40"/>
      <c r="J44" s="40"/>
      <c r="K44" s="40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0"/>
      <c r="F45" s="40"/>
      <c r="G45" s="35"/>
      <c r="H45" s="40"/>
      <c r="I45" s="40"/>
      <c r="J45" s="40"/>
      <c r="K45" s="40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0"/>
      <c r="F46" s="40"/>
      <c r="G46" s="48"/>
      <c r="H46" s="40"/>
      <c r="I46" s="40"/>
      <c r="J46" s="40"/>
      <c r="K46" s="40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3">
      <c r="A47" s="95"/>
      <c r="B47" s="95"/>
      <c r="C47" s="47" t="s">
        <v>15</v>
      </c>
      <c r="D47" s="39">
        <f>SUM(E47:AH47)</f>
        <v>58812</v>
      </c>
      <c r="E47" s="40">
        <f>1450+1400</f>
        <v>2850</v>
      </c>
      <c r="F47" s="40">
        <f>1070+1010</f>
        <v>2080</v>
      </c>
      <c r="G47" s="40">
        <f>676+1040</f>
        <v>1716</v>
      </c>
      <c r="H47" s="40">
        <f>600+1040</f>
        <v>1640</v>
      </c>
      <c r="I47" s="40">
        <f>1150+670</f>
        <v>1820</v>
      </c>
      <c r="J47" s="40">
        <f>1070+1150</f>
        <v>2220</v>
      </c>
      <c r="K47" s="40">
        <f>676+500</f>
        <v>1176</v>
      </c>
      <c r="L47" s="41">
        <f>900+600</f>
        <v>1500</v>
      </c>
      <c r="M47" s="41">
        <f>1650+1300</f>
        <v>2950</v>
      </c>
      <c r="N47" s="41">
        <f>1210+1510</f>
        <v>2720</v>
      </c>
      <c r="O47" s="41">
        <f>500+1766</f>
        <v>2266</v>
      </c>
      <c r="P47" s="41">
        <f>300+120</f>
        <v>420</v>
      </c>
      <c r="Q47" s="41">
        <f>1150+1350</f>
        <v>2500</v>
      </c>
      <c r="R47" s="43">
        <f>1210+1010</f>
        <v>2220</v>
      </c>
      <c r="S47" s="43">
        <f>1166+500</f>
        <v>1666</v>
      </c>
      <c r="T47" s="43">
        <f>600+100</f>
        <v>700</v>
      </c>
      <c r="U47" s="43">
        <f>1450+1350</f>
        <v>2800</v>
      </c>
      <c r="V47" s="43">
        <f>970+2090</f>
        <v>3060</v>
      </c>
      <c r="W47" s="43">
        <f>676+500</f>
        <v>1176</v>
      </c>
      <c r="X47" s="43">
        <f>600+1050</f>
        <v>1650</v>
      </c>
      <c r="Y47" s="43">
        <f>1150+1210</f>
        <v>2360</v>
      </c>
      <c r="Z47" s="43">
        <f>1050+1010</f>
        <v>2060</v>
      </c>
      <c r="AA47" s="43">
        <f>676+500</f>
        <v>1176</v>
      </c>
      <c r="AB47" s="43">
        <f>600+1800</f>
        <v>2400</v>
      </c>
      <c r="AC47" s="43">
        <f>1450+1350</f>
        <v>2800</v>
      </c>
      <c r="AD47" s="43">
        <f>1080+1190</f>
        <v>2270</v>
      </c>
      <c r="AE47" s="43">
        <f>500+676</f>
        <v>1176</v>
      </c>
      <c r="AF47" s="43">
        <f>300+530</f>
        <v>830</v>
      </c>
      <c r="AG47" s="43">
        <f>1150+1350</f>
        <v>2500</v>
      </c>
      <c r="AH47" s="43">
        <f>1100+1010</f>
        <v>2110</v>
      </c>
      <c r="AI47" s="43"/>
      <c r="AJ47" s="43">
        <f>1000+676</f>
        <v>1676</v>
      </c>
    </row>
    <row r="48" spans="1:36" ht="16.5" customHeight="1" x14ac:dyDescent="0.3">
      <c r="A48" s="88" t="s">
        <v>4</v>
      </c>
      <c r="B48" s="89"/>
      <c r="C48" s="90"/>
      <c r="D48" s="39">
        <f>SUM(E48:AH48)</f>
        <v>58812</v>
      </c>
      <c r="E48" s="49">
        <v>2850</v>
      </c>
      <c r="F48" s="49">
        <v>2080</v>
      </c>
      <c r="G48" s="49">
        <v>1716</v>
      </c>
      <c r="H48" s="49">
        <v>1640</v>
      </c>
      <c r="I48" s="49">
        <v>1820</v>
      </c>
      <c r="J48" s="49">
        <v>2220</v>
      </c>
      <c r="K48" s="49">
        <v>1176</v>
      </c>
      <c r="L48" s="50">
        <v>1500</v>
      </c>
      <c r="M48" s="50">
        <v>2950</v>
      </c>
      <c r="N48" s="50">
        <v>2720</v>
      </c>
      <c r="O48" s="50">
        <v>2266</v>
      </c>
      <c r="P48" s="50">
        <v>420</v>
      </c>
      <c r="Q48" s="50">
        <v>2500</v>
      </c>
      <c r="R48" s="50">
        <v>2220</v>
      </c>
      <c r="S48" s="50">
        <v>1666</v>
      </c>
      <c r="T48" s="50">
        <v>700</v>
      </c>
      <c r="U48" s="50">
        <v>2800</v>
      </c>
      <c r="V48" s="50">
        <v>3060</v>
      </c>
      <c r="W48" s="50">
        <v>1176</v>
      </c>
      <c r="X48" s="50">
        <v>1650</v>
      </c>
      <c r="Y48" s="50">
        <v>2360</v>
      </c>
      <c r="Z48" s="50">
        <v>2060</v>
      </c>
      <c r="AA48" s="50">
        <v>1176</v>
      </c>
      <c r="AB48" s="50">
        <v>2400</v>
      </c>
      <c r="AC48" s="50">
        <v>2800</v>
      </c>
      <c r="AD48" s="50">
        <v>2270</v>
      </c>
      <c r="AE48" s="50">
        <v>1176</v>
      </c>
      <c r="AF48" s="50">
        <v>830</v>
      </c>
      <c r="AG48" s="50">
        <v>2500</v>
      </c>
      <c r="AH48" s="50">
        <v>2110</v>
      </c>
      <c r="AI48" s="50"/>
      <c r="AJ48" s="50">
        <v>1676</v>
      </c>
    </row>
    <row r="49" spans="1:36" ht="16.5" customHeight="1" x14ac:dyDescent="0.3">
      <c r="A49" s="100" t="s">
        <v>5</v>
      </c>
      <c r="B49" s="101"/>
      <c r="C49" s="102"/>
      <c r="D49" s="51">
        <f>SUM(E49:AH49)</f>
        <v>371049</v>
      </c>
      <c r="E49" s="51">
        <f>13534+2850</f>
        <v>16384</v>
      </c>
      <c r="F49" s="51">
        <f>13732+2080</f>
        <v>15812</v>
      </c>
      <c r="G49" s="51">
        <f>11902+1716</f>
        <v>13618</v>
      </c>
      <c r="H49" s="51">
        <f>8238+1640</f>
        <v>9878</v>
      </c>
      <c r="I49" s="51">
        <f>9029+1820</f>
        <v>10849</v>
      </c>
      <c r="J49" s="51">
        <f>11684+2220</f>
        <v>13904</v>
      </c>
      <c r="K49" s="51">
        <f>10604+1176</f>
        <v>11780</v>
      </c>
      <c r="L49" s="52">
        <f>8260+1500</f>
        <v>9760</v>
      </c>
      <c r="M49" s="52">
        <f>10551+2950</f>
        <v>13501</v>
      </c>
      <c r="N49" s="52">
        <f>17989+2720</f>
        <v>20709</v>
      </c>
      <c r="O49" s="52">
        <f>13324+2266</f>
        <v>15590</v>
      </c>
      <c r="P49" s="52">
        <f>7470+420</f>
        <v>7890</v>
      </c>
      <c r="Q49" s="52">
        <f>9442+2500</f>
        <v>11942</v>
      </c>
      <c r="R49" s="52">
        <f>14212+2220</f>
        <v>16432</v>
      </c>
      <c r="S49" s="52">
        <f>S23+S48</f>
        <v>11440</v>
      </c>
      <c r="T49" s="52">
        <f t="shared" ref="T49:AJ49" si="3">T23+T48</f>
        <v>8890</v>
      </c>
      <c r="U49" s="52">
        <f t="shared" si="3"/>
        <v>13252</v>
      </c>
      <c r="V49" s="52">
        <f t="shared" si="3"/>
        <v>15251</v>
      </c>
      <c r="W49" s="52">
        <f t="shared" si="3"/>
        <v>9310</v>
      </c>
      <c r="X49" s="52">
        <f t="shared" si="3"/>
        <v>9700</v>
      </c>
      <c r="Y49" s="52">
        <f t="shared" si="3"/>
        <v>12072</v>
      </c>
      <c r="Z49" s="52">
        <f t="shared" si="3"/>
        <v>13622</v>
      </c>
      <c r="AA49" s="52">
        <f t="shared" si="3"/>
        <v>8217</v>
      </c>
      <c r="AB49" s="52">
        <f t="shared" si="3"/>
        <v>12790</v>
      </c>
      <c r="AC49" s="52">
        <f t="shared" si="3"/>
        <v>13922</v>
      </c>
      <c r="AD49" s="52">
        <f t="shared" si="3"/>
        <v>13000</v>
      </c>
      <c r="AE49" s="52">
        <f t="shared" si="3"/>
        <v>8120</v>
      </c>
      <c r="AF49" s="52">
        <f t="shared" si="3"/>
        <v>7450</v>
      </c>
      <c r="AG49" s="52">
        <f t="shared" si="3"/>
        <v>12452</v>
      </c>
      <c r="AH49" s="52">
        <f t="shared" si="3"/>
        <v>13512</v>
      </c>
      <c r="AI49" s="52">
        <f t="shared" si="3"/>
        <v>0</v>
      </c>
      <c r="AJ49" s="52">
        <f t="shared" si="3"/>
        <v>12510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6" sqref="E56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93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60</v>
      </c>
      <c r="F4" s="36" t="s">
        <v>76</v>
      </c>
      <c r="G4" s="36" t="s">
        <v>77</v>
      </c>
      <c r="H4" s="36" t="s">
        <v>78</v>
      </c>
      <c r="I4" s="36" t="s">
        <v>79</v>
      </c>
      <c r="J4" s="36" t="s">
        <v>80</v>
      </c>
      <c r="K4" s="36" t="s">
        <v>81</v>
      </c>
      <c r="L4" s="36" t="s">
        <v>75</v>
      </c>
      <c r="M4" s="36" t="s">
        <v>76</v>
      </c>
      <c r="N4" s="36" t="s">
        <v>77</v>
      </c>
      <c r="O4" s="36" t="s">
        <v>78</v>
      </c>
      <c r="P4" s="36" t="s">
        <v>79</v>
      </c>
      <c r="Q4" s="36" t="s">
        <v>80</v>
      </c>
      <c r="R4" s="36" t="s">
        <v>81</v>
      </c>
      <c r="S4" s="36" t="s">
        <v>75</v>
      </c>
      <c r="T4" s="36" t="s">
        <v>76</v>
      </c>
      <c r="U4" s="36" t="s">
        <v>77</v>
      </c>
      <c r="V4" s="36" t="s">
        <v>78</v>
      </c>
      <c r="W4" s="36" t="s">
        <v>79</v>
      </c>
      <c r="X4" s="36" t="s">
        <v>80</v>
      </c>
      <c r="Y4" s="36" t="s">
        <v>81</v>
      </c>
      <c r="Z4" s="36" t="s">
        <v>75</v>
      </c>
      <c r="AA4" s="36" t="s">
        <v>76</v>
      </c>
      <c r="AB4" s="36" t="s">
        <v>77</v>
      </c>
      <c r="AC4" s="36" t="s">
        <v>78</v>
      </c>
      <c r="AD4" s="36" t="s">
        <v>79</v>
      </c>
      <c r="AE4" s="36" t="s">
        <v>80</v>
      </c>
      <c r="AF4" s="36" t="s">
        <v>81</v>
      </c>
      <c r="AG4" s="36" t="s">
        <v>75</v>
      </c>
      <c r="AH4" s="36" t="s">
        <v>76</v>
      </c>
      <c r="AI4" s="36" t="s">
        <v>77</v>
      </c>
      <c r="AJ4" s="36"/>
    </row>
    <row r="5" spans="1:36" ht="26.25" customHeight="1" x14ac:dyDescent="0.3">
      <c r="A5" s="93"/>
      <c r="B5" s="96" t="s">
        <v>31</v>
      </c>
      <c r="C5" s="97"/>
      <c r="D5" s="37"/>
      <c r="E5" s="38" t="s">
        <v>68</v>
      </c>
      <c r="F5" s="38" t="s">
        <v>94</v>
      </c>
      <c r="G5" s="38" t="s">
        <v>65</v>
      </c>
      <c r="H5" s="38" t="s">
        <v>65</v>
      </c>
      <c r="I5" s="38" t="s">
        <v>65</v>
      </c>
      <c r="J5" s="38" t="s">
        <v>95</v>
      </c>
      <c r="K5" s="38" t="s">
        <v>73</v>
      </c>
      <c r="L5" s="38" t="s">
        <v>65</v>
      </c>
      <c r="M5" s="38" t="s">
        <v>73</v>
      </c>
      <c r="N5" s="38" t="s">
        <v>65</v>
      </c>
      <c r="O5" s="38" t="s">
        <v>73</v>
      </c>
      <c r="P5" s="38" t="s">
        <v>65</v>
      </c>
      <c r="Q5" s="38" t="s">
        <v>65</v>
      </c>
      <c r="R5" s="38" t="s">
        <v>66</v>
      </c>
      <c r="S5" s="38" t="s">
        <v>95</v>
      </c>
      <c r="T5" s="38" t="s">
        <v>65</v>
      </c>
      <c r="U5" s="38" t="s">
        <v>68</v>
      </c>
      <c r="V5" s="38" t="s">
        <v>68</v>
      </c>
      <c r="W5" s="38" t="s">
        <v>68</v>
      </c>
      <c r="X5" s="38" t="s">
        <v>65</v>
      </c>
      <c r="Y5" s="38" t="s">
        <v>94</v>
      </c>
      <c r="Z5" s="38" t="s">
        <v>95</v>
      </c>
      <c r="AA5" s="38" t="s">
        <v>65</v>
      </c>
      <c r="AB5" s="38" t="s">
        <v>65</v>
      </c>
      <c r="AC5" s="38" t="s">
        <v>65</v>
      </c>
      <c r="AD5" s="38" t="s">
        <v>66</v>
      </c>
      <c r="AE5" s="38" t="s">
        <v>65</v>
      </c>
      <c r="AF5" s="38" t="s">
        <v>65</v>
      </c>
      <c r="AG5" s="38" t="s">
        <v>65</v>
      </c>
      <c r="AH5" s="38" t="s">
        <v>65</v>
      </c>
      <c r="AI5" s="53"/>
      <c r="AJ5" s="38"/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3230</v>
      </c>
      <c r="E6" s="40">
        <v>120</v>
      </c>
      <c r="F6" s="40">
        <v>0</v>
      </c>
      <c r="G6" s="40">
        <v>350</v>
      </c>
      <c r="H6" s="40">
        <v>0</v>
      </c>
      <c r="I6" s="40">
        <v>120</v>
      </c>
      <c r="J6" s="40">
        <v>0</v>
      </c>
      <c r="K6" s="40">
        <v>340</v>
      </c>
      <c r="L6" s="40">
        <v>0</v>
      </c>
      <c r="M6" s="40">
        <v>120</v>
      </c>
      <c r="N6" s="41">
        <v>0</v>
      </c>
      <c r="O6" s="42">
        <v>340</v>
      </c>
      <c r="P6" s="41">
        <v>0</v>
      </c>
      <c r="Q6" s="41">
        <v>120</v>
      </c>
      <c r="R6" s="43">
        <v>0</v>
      </c>
      <c r="S6" s="43">
        <v>340</v>
      </c>
      <c r="T6" s="43">
        <v>0</v>
      </c>
      <c r="U6" s="43">
        <v>120</v>
      </c>
      <c r="V6" s="43">
        <v>0</v>
      </c>
      <c r="W6" s="43">
        <v>300</v>
      </c>
      <c r="X6" s="43">
        <v>0</v>
      </c>
      <c r="Y6" s="43">
        <v>120</v>
      </c>
      <c r="Z6" s="43">
        <v>0</v>
      </c>
      <c r="AA6" s="43">
        <v>300</v>
      </c>
      <c r="AB6" s="43">
        <v>0</v>
      </c>
      <c r="AC6" s="43">
        <v>120</v>
      </c>
      <c r="AD6" s="43">
        <v>0</v>
      </c>
      <c r="AE6" s="43">
        <v>300</v>
      </c>
      <c r="AF6" s="43">
        <v>0</v>
      </c>
      <c r="AG6" s="43">
        <v>120</v>
      </c>
      <c r="AH6" s="44">
        <v>0</v>
      </c>
      <c r="AI6" s="54"/>
      <c r="AJ6" s="55"/>
    </row>
    <row r="7" spans="1:36" ht="16.5" customHeight="1" x14ac:dyDescent="0.3">
      <c r="A7" s="94"/>
      <c r="B7" s="98" t="s">
        <v>23</v>
      </c>
      <c r="C7" s="99"/>
      <c r="D7" s="39">
        <f t="shared" si="0"/>
        <v>42995</v>
      </c>
      <c r="E7" s="40">
        <v>2000</v>
      </c>
      <c r="F7" s="40">
        <v>2080</v>
      </c>
      <c r="G7" s="40">
        <v>1283</v>
      </c>
      <c r="H7" s="40">
        <v>950</v>
      </c>
      <c r="I7" s="40">
        <v>2000</v>
      </c>
      <c r="J7" s="40">
        <v>2060</v>
      </c>
      <c r="K7" s="40">
        <v>1933</v>
      </c>
      <c r="L7" s="40">
        <v>950</v>
      </c>
      <c r="M7" s="40">
        <v>680</v>
      </c>
      <c r="N7" s="41">
        <v>1980</v>
      </c>
      <c r="O7" s="41">
        <v>960</v>
      </c>
      <c r="P7" s="41">
        <v>2270</v>
      </c>
      <c r="Q7" s="41">
        <v>1500</v>
      </c>
      <c r="R7" s="43">
        <v>1980</v>
      </c>
      <c r="S7" s="43">
        <v>1000</v>
      </c>
      <c r="T7" s="43">
        <v>900</v>
      </c>
      <c r="U7" s="43">
        <v>680</v>
      </c>
      <c r="V7" s="43">
        <v>1980</v>
      </c>
      <c r="W7" s="43">
        <v>783</v>
      </c>
      <c r="X7" s="43">
        <v>0</v>
      </c>
      <c r="Y7" s="43">
        <v>1500</v>
      </c>
      <c r="Z7" s="43">
        <v>4600</v>
      </c>
      <c r="AA7" s="43">
        <v>1083</v>
      </c>
      <c r="AB7" s="43">
        <v>800</v>
      </c>
      <c r="AC7" s="43">
        <v>1600</v>
      </c>
      <c r="AD7" s="43">
        <v>1510</v>
      </c>
      <c r="AE7" s="43">
        <v>973</v>
      </c>
      <c r="AF7" s="43">
        <v>800</v>
      </c>
      <c r="AG7" s="43">
        <v>680</v>
      </c>
      <c r="AH7" s="43">
        <v>1480</v>
      </c>
      <c r="AI7" s="54"/>
      <c r="AJ7" s="54"/>
    </row>
    <row r="8" spans="1:36" ht="16.5" customHeight="1" x14ac:dyDescent="0.3">
      <c r="A8" s="94"/>
      <c r="B8" s="98" t="s">
        <v>25</v>
      </c>
      <c r="C8" s="99"/>
      <c r="D8" s="39">
        <f t="shared" si="0"/>
        <v>43772</v>
      </c>
      <c r="E8" s="40">
        <v>870</v>
      </c>
      <c r="F8" s="40">
        <v>2000</v>
      </c>
      <c r="G8" s="40">
        <v>2210</v>
      </c>
      <c r="H8" s="40">
        <v>1456</v>
      </c>
      <c r="I8" s="40">
        <v>870</v>
      </c>
      <c r="J8" s="40">
        <v>2300</v>
      </c>
      <c r="K8" s="40">
        <v>2210</v>
      </c>
      <c r="L8" s="40">
        <v>1756</v>
      </c>
      <c r="M8" s="40">
        <v>770</v>
      </c>
      <c r="N8" s="41">
        <v>1800</v>
      </c>
      <c r="O8" s="41">
        <v>2210</v>
      </c>
      <c r="P8" s="41">
        <v>1506</v>
      </c>
      <c r="Q8" s="41">
        <v>770</v>
      </c>
      <c r="R8" s="43">
        <v>2100</v>
      </c>
      <c r="S8" s="43">
        <v>2070</v>
      </c>
      <c r="T8" s="43">
        <v>1506</v>
      </c>
      <c r="U8" s="43">
        <v>410</v>
      </c>
      <c r="V8" s="43">
        <v>1500</v>
      </c>
      <c r="W8" s="43">
        <v>1960</v>
      </c>
      <c r="X8" s="43">
        <v>1306</v>
      </c>
      <c r="Y8" s="43">
        <v>460</v>
      </c>
      <c r="Z8" s="43">
        <v>1700</v>
      </c>
      <c r="AA8" s="43">
        <v>1960</v>
      </c>
      <c r="AB8" s="43">
        <v>1306</v>
      </c>
      <c r="AC8" s="43">
        <v>460</v>
      </c>
      <c r="AD8" s="43">
        <v>1500</v>
      </c>
      <c r="AE8" s="43">
        <v>1840</v>
      </c>
      <c r="AF8" s="43">
        <v>1306</v>
      </c>
      <c r="AG8" s="43">
        <v>460</v>
      </c>
      <c r="AH8" s="43">
        <v>1200</v>
      </c>
      <c r="AI8" s="54"/>
      <c r="AJ8" s="54"/>
    </row>
    <row r="9" spans="1:36" ht="16.5" customHeight="1" x14ac:dyDescent="0.3">
      <c r="A9" s="94"/>
      <c r="B9" s="98" t="s">
        <v>29</v>
      </c>
      <c r="C9" s="99"/>
      <c r="D9" s="39">
        <f t="shared" si="0"/>
        <v>46581</v>
      </c>
      <c r="E9" s="40">
        <f>1050+210</f>
        <v>1260</v>
      </c>
      <c r="F9" s="40">
        <f>230+920</f>
        <v>1150</v>
      </c>
      <c r="G9" s="40">
        <f>1645+835</f>
        <v>2480</v>
      </c>
      <c r="H9" s="45">
        <f>900+633</f>
        <v>1533</v>
      </c>
      <c r="I9" s="40">
        <f>230+1050</f>
        <v>1280</v>
      </c>
      <c r="J9" s="40">
        <f>260+1080</f>
        <v>1340</v>
      </c>
      <c r="K9" s="40">
        <f>1635+1705</f>
        <v>3340</v>
      </c>
      <c r="L9" s="40">
        <f>983+900</f>
        <v>1883</v>
      </c>
      <c r="M9" s="40">
        <f>850+740</f>
        <v>1590</v>
      </c>
      <c r="N9" s="41">
        <f>240+970</f>
        <v>1210</v>
      </c>
      <c r="O9" s="41">
        <f>740+1635</f>
        <v>2375</v>
      </c>
      <c r="P9" s="41">
        <f>983+1170</f>
        <v>2153</v>
      </c>
      <c r="Q9" s="41">
        <f>220+850</f>
        <v>1070</v>
      </c>
      <c r="R9" s="43">
        <f>970+300</f>
        <v>1270</v>
      </c>
      <c r="S9" s="43">
        <f>760+1555</f>
        <v>2315</v>
      </c>
      <c r="T9" s="43">
        <f>913+850</f>
        <v>1763</v>
      </c>
      <c r="U9" s="43">
        <f>500+740</f>
        <v>1240</v>
      </c>
      <c r="V9" s="43">
        <f>210+970</f>
        <v>1180</v>
      </c>
      <c r="W9" s="43">
        <f>1555+365</f>
        <v>1920</v>
      </c>
      <c r="X9" s="43">
        <v>763</v>
      </c>
      <c r="Y9" s="43">
        <f>220+550</f>
        <v>770</v>
      </c>
      <c r="Z9" s="43">
        <f>170+860</f>
        <v>1030</v>
      </c>
      <c r="AA9" s="43">
        <f>1555+855</f>
        <v>2410</v>
      </c>
      <c r="AB9" s="43">
        <f>763+750</f>
        <v>1513</v>
      </c>
      <c r="AC9" s="43">
        <f>210+550</f>
        <v>760</v>
      </c>
      <c r="AD9" s="43">
        <v>940</v>
      </c>
      <c r="AE9" s="43">
        <f>1535+855</f>
        <v>2390</v>
      </c>
      <c r="AF9" s="43">
        <f>750+763</f>
        <v>1513</v>
      </c>
      <c r="AG9" s="43">
        <f>550+740</f>
        <v>1290</v>
      </c>
      <c r="AH9" s="43">
        <f>170+680</f>
        <v>850</v>
      </c>
      <c r="AI9" s="54"/>
      <c r="AJ9" s="54"/>
    </row>
    <row r="10" spans="1:36" ht="16.5" customHeight="1" x14ac:dyDescent="0.3">
      <c r="A10" s="94"/>
      <c r="B10" s="96" t="s">
        <v>92</v>
      </c>
      <c r="C10" s="97"/>
      <c r="D10" s="39">
        <f t="shared" si="0"/>
        <v>0</v>
      </c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0"/>
      <c r="AJ10" s="40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0"/>
      <c r="AJ11" s="40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0"/>
      <c r="AJ12" s="40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0"/>
      <c r="F13" s="40"/>
      <c r="G13" s="40"/>
      <c r="H13" s="40"/>
      <c r="I13" s="40"/>
      <c r="J13" s="40"/>
      <c r="K13" s="40"/>
      <c r="L13" s="40"/>
      <c r="M13" s="40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40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0"/>
      <c r="F14" s="40"/>
      <c r="G14" s="40"/>
      <c r="H14" s="40"/>
      <c r="I14" s="40"/>
      <c r="J14" s="40"/>
      <c r="K14" s="40"/>
      <c r="L14" s="40"/>
      <c r="M14" s="40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0"/>
      <c r="AJ14" s="40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0"/>
      <c r="AJ15" s="40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0"/>
      <c r="F16" s="40"/>
      <c r="G16" s="40"/>
      <c r="H16" s="40"/>
      <c r="I16" s="40"/>
      <c r="J16" s="40"/>
      <c r="K16" s="40"/>
      <c r="L16" s="40"/>
      <c r="M16" s="40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0"/>
      <c r="AJ16" s="40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0"/>
      <c r="F17" s="40"/>
      <c r="G17" s="40"/>
      <c r="H17" s="40"/>
      <c r="I17" s="40"/>
      <c r="J17" s="40"/>
      <c r="K17" s="40"/>
      <c r="L17" s="40"/>
      <c r="M17" s="40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0"/>
      <c r="AJ17" s="40"/>
    </row>
    <row r="18" spans="1:36" ht="16.5" customHeight="1" x14ac:dyDescent="0.3">
      <c r="A18" s="94"/>
      <c r="B18" s="98" t="s">
        <v>1</v>
      </c>
      <c r="C18" s="99"/>
      <c r="D18" s="39">
        <f t="shared" si="0"/>
        <v>86015</v>
      </c>
      <c r="E18" s="40">
        <f>1300+1020</f>
        <v>2320</v>
      </c>
      <c r="F18" s="40">
        <f>1780+1780</f>
        <v>3560</v>
      </c>
      <c r="G18" s="40">
        <f>2825+1250</f>
        <v>4075</v>
      </c>
      <c r="H18" s="40">
        <f>1265+1400</f>
        <v>2665</v>
      </c>
      <c r="I18" s="40">
        <f>1020+1600</f>
        <v>2620</v>
      </c>
      <c r="J18" s="40">
        <f>2080+1800</f>
        <v>3880</v>
      </c>
      <c r="K18" s="40">
        <f>2775+2550</f>
        <v>5325</v>
      </c>
      <c r="L18" s="40">
        <f>1565+1500</f>
        <v>3065</v>
      </c>
      <c r="M18" s="40">
        <f>670+1380</f>
        <v>2050</v>
      </c>
      <c r="N18" s="41">
        <f>1780+1710</f>
        <v>3490</v>
      </c>
      <c r="O18" s="41">
        <f>2775+1140</f>
        <v>3915</v>
      </c>
      <c r="P18" s="41">
        <f>1465+2040</f>
        <v>3505</v>
      </c>
      <c r="Q18" s="41">
        <f>820+1500</f>
        <v>2320</v>
      </c>
      <c r="R18" s="43">
        <f>1670+2080</f>
        <v>3750</v>
      </c>
      <c r="S18" s="43">
        <f>2495+1140</f>
        <v>3635</v>
      </c>
      <c r="T18" s="43">
        <f>1365+950</f>
        <v>2315</v>
      </c>
      <c r="U18" s="43">
        <f>620+800</f>
        <v>1420</v>
      </c>
      <c r="V18" s="43">
        <f>1480+1670</f>
        <v>3150</v>
      </c>
      <c r="W18" s="43">
        <f>2455+175</f>
        <v>2630</v>
      </c>
      <c r="X18" s="43">
        <v>1125</v>
      </c>
      <c r="Y18" s="43">
        <f>620+1500</f>
        <v>2120</v>
      </c>
      <c r="Z18" s="43">
        <f>1550+1680</f>
        <v>3230</v>
      </c>
      <c r="AA18" s="43">
        <f>1080+2240</f>
        <v>3320</v>
      </c>
      <c r="AB18" s="43">
        <f>900+1125</f>
        <v>2025</v>
      </c>
      <c r="AC18" s="43">
        <f>620+1600</f>
        <v>2220</v>
      </c>
      <c r="AD18" s="43">
        <f>1480+1560</f>
        <v>3040</v>
      </c>
      <c r="AE18" s="43">
        <f>1020+2060</f>
        <v>3080</v>
      </c>
      <c r="AF18" s="43">
        <f>1105+900</f>
        <v>2005</v>
      </c>
      <c r="AG18" s="43">
        <f>620+800</f>
        <v>1420</v>
      </c>
      <c r="AH18" s="43">
        <f>1560+1180</f>
        <v>2740</v>
      </c>
      <c r="AI18" s="54"/>
      <c r="AJ18" s="54"/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0"/>
      <c r="F19" s="40"/>
      <c r="G19" s="40"/>
      <c r="H19" s="40"/>
      <c r="I19" s="40"/>
      <c r="J19" s="56"/>
      <c r="K19" s="40"/>
      <c r="L19" s="40"/>
      <c r="M19" s="40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54"/>
      <c r="AJ19" s="54"/>
    </row>
    <row r="20" spans="1:36" ht="16.5" customHeight="1" x14ac:dyDescent="0.3">
      <c r="A20" s="94"/>
      <c r="B20" s="98" t="s">
        <v>16</v>
      </c>
      <c r="C20" s="99"/>
      <c r="D20" s="39">
        <f t="shared" si="0"/>
        <v>13070</v>
      </c>
      <c r="E20" s="40">
        <f>210+290</f>
        <v>500</v>
      </c>
      <c r="F20" s="40">
        <f>220+98</f>
        <v>318</v>
      </c>
      <c r="G20" s="40">
        <f>154+145</f>
        <v>299</v>
      </c>
      <c r="H20" s="40">
        <f>315+600</f>
        <v>915</v>
      </c>
      <c r="I20" s="40">
        <f>210+290</f>
        <v>500</v>
      </c>
      <c r="J20" s="40">
        <f>260+103</f>
        <v>363</v>
      </c>
      <c r="K20" s="40">
        <f>644+143</f>
        <v>787</v>
      </c>
      <c r="L20" s="40">
        <f>465+600</f>
        <v>1065</v>
      </c>
      <c r="M20" s="40">
        <f>210+180</f>
        <v>390</v>
      </c>
      <c r="N20" s="41">
        <f>220+103</f>
        <v>323</v>
      </c>
      <c r="O20" s="41">
        <f>143</f>
        <v>143</v>
      </c>
      <c r="P20" s="41">
        <f>315+195</f>
        <v>510</v>
      </c>
      <c r="Q20" s="41">
        <f>210+290</f>
        <v>500</v>
      </c>
      <c r="R20" s="43">
        <f>260+103</f>
        <v>363</v>
      </c>
      <c r="S20" s="43">
        <f>133</f>
        <v>133</v>
      </c>
      <c r="T20" s="43">
        <f>315+500</f>
        <v>815</v>
      </c>
      <c r="U20" s="43">
        <f>180+210</f>
        <v>390</v>
      </c>
      <c r="V20" s="43">
        <f>103+110</f>
        <v>213</v>
      </c>
      <c r="W20" s="43">
        <f>154+133</f>
        <v>287</v>
      </c>
      <c r="X20" s="43">
        <v>230</v>
      </c>
      <c r="Y20" s="43">
        <f>210+290</f>
        <v>500</v>
      </c>
      <c r="Z20" s="43">
        <f>86+100</f>
        <v>186</v>
      </c>
      <c r="AA20" s="43">
        <f>133+174</f>
        <v>307</v>
      </c>
      <c r="AB20" s="43">
        <f>230+500</f>
        <v>730</v>
      </c>
      <c r="AC20" s="43">
        <f>280+210</f>
        <v>490</v>
      </c>
      <c r="AD20" s="43">
        <v>194</v>
      </c>
      <c r="AE20" s="43">
        <f>174+126</f>
        <v>300</v>
      </c>
      <c r="AF20" s="43">
        <f>230+500</f>
        <v>730</v>
      </c>
      <c r="AG20" s="43">
        <f>210+200</f>
        <v>410</v>
      </c>
      <c r="AH20" s="43">
        <f>79+100</f>
        <v>179</v>
      </c>
      <c r="AI20" s="54"/>
      <c r="AJ20" s="54"/>
    </row>
    <row r="21" spans="1:36" ht="16.5" customHeight="1" x14ac:dyDescent="0.3">
      <c r="A21" s="94"/>
      <c r="B21" s="98" t="s">
        <v>10</v>
      </c>
      <c r="C21" s="99"/>
      <c r="D21" s="39">
        <f t="shared" si="0"/>
        <v>9285</v>
      </c>
      <c r="E21" s="40">
        <f>110+180</f>
        <v>290</v>
      </c>
      <c r="F21" s="40">
        <f>30+110</f>
        <v>140</v>
      </c>
      <c r="G21" s="40">
        <f>109+140</f>
        <v>249</v>
      </c>
      <c r="H21" s="40">
        <f>205+600</f>
        <v>805</v>
      </c>
      <c r="I21" s="40">
        <f>110+180</f>
        <v>290</v>
      </c>
      <c r="J21" s="40">
        <f>27+80</f>
        <v>107</v>
      </c>
      <c r="K21" s="40">
        <f>104+170</f>
        <v>274</v>
      </c>
      <c r="L21" s="40">
        <f>600+205</f>
        <v>805</v>
      </c>
      <c r="M21" s="40">
        <f>180+190</f>
        <v>370</v>
      </c>
      <c r="N21" s="41">
        <f>24+60</f>
        <v>84</v>
      </c>
      <c r="O21" s="41">
        <f>110+104</f>
        <v>214</v>
      </c>
      <c r="P21" s="41">
        <f>205+95</f>
        <v>300</v>
      </c>
      <c r="Q21" s="41">
        <f>100+180</f>
        <v>280</v>
      </c>
      <c r="R21" s="43">
        <f>24+70</f>
        <v>94</v>
      </c>
      <c r="S21" s="43">
        <f>102+110</f>
        <v>212</v>
      </c>
      <c r="T21" s="43">
        <f>500+205</f>
        <v>705</v>
      </c>
      <c r="U21" s="43">
        <f>190+180</f>
        <v>370</v>
      </c>
      <c r="V21" s="43">
        <f>50+24</f>
        <v>74</v>
      </c>
      <c r="W21" s="43">
        <f>102+90</f>
        <v>192</v>
      </c>
      <c r="X21" s="43">
        <v>175</v>
      </c>
      <c r="Y21" s="43">
        <f>180+100</f>
        <v>280</v>
      </c>
      <c r="Z21" s="43">
        <f>70+23</f>
        <v>93</v>
      </c>
      <c r="AA21" s="43">
        <f>102+90</f>
        <v>192</v>
      </c>
      <c r="AB21" s="43">
        <f>157+500</f>
        <v>657</v>
      </c>
      <c r="AC21" s="43">
        <f>180+100</f>
        <v>280</v>
      </c>
      <c r="AD21" s="43">
        <v>93</v>
      </c>
      <c r="AE21" s="43">
        <f>90+102</f>
        <v>192</v>
      </c>
      <c r="AF21" s="43">
        <f>175+500</f>
        <v>675</v>
      </c>
      <c r="AG21" s="43">
        <f>530+180</f>
        <v>710</v>
      </c>
      <c r="AH21" s="43">
        <f>60+23</f>
        <v>83</v>
      </c>
      <c r="AI21" s="54"/>
      <c r="AJ21" s="54"/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0"/>
      <c r="F22" s="40"/>
      <c r="G22" s="40"/>
      <c r="H22" s="40"/>
      <c r="I22" s="40"/>
      <c r="J22" s="40"/>
      <c r="K22" s="40"/>
      <c r="L22" s="40"/>
      <c r="M22" s="40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54"/>
      <c r="AJ22" s="54"/>
    </row>
    <row r="23" spans="1:36" ht="16.5" customHeight="1" x14ac:dyDescent="0.3">
      <c r="A23" s="88" t="s">
        <v>4</v>
      </c>
      <c r="B23" s="89"/>
      <c r="C23" s="90"/>
      <c r="D23" s="39">
        <f t="shared" si="0"/>
        <v>244948</v>
      </c>
      <c r="E23" s="35">
        <f t="shared" ref="E23:W23" si="1">E6+E7+E8+E9+E18+E20+E21</f>
        <v>7360</v>
      </c>
      <c r="F23" s="35">
        <f t="shared" si="1"/>
        <v>9248</v>
      </c>
      <c r="G23" s="35">
        <f t="shared" si="1"/>
        <v>10946</v>
      </c>
      <c r="H23" s="35">
        <f t="shared" si="1"/>
        <v>8324</v>
      </c>
      <c r="I23" s="35">
        <f t="shared" si="1"/>
        <v>7680</v>
      </c>
      <c r="J23" s="35">
        <f t="shared" si="1"/>
        <v>10050</v>
      </c>
      <c r="K23" s="35">
        <f t="shared" si="1"/>
        <v>14209</v>
      </c>
      <c r="L23" s="35">
        <f t="shared" si="1"/>
        <v>9524</v>
      </c>
      <c r="M23" s="35">
        <f t="shared" si="1"/>
        <v>5970</v>
      </c>
      <c r="N23" s="46">
        <f t="shared" si="1"/>
        <v>8887</v>
      </c>
      <c r="O23" s="46">
        <f t="shared" si="1"/>
        <v>10157</v>
      </c>
      <c r="P23" s="46">
        <f t="shared" si="1"/>
        <v>10244</v>
      </c>
      <c r="Q23" s="46">
        <f t="shared" si="1"/>
        <v>6560</v>
      </c>
      <c r="R23" s="46">
        <f>R6+R7+R8+R9+R18+R20+R21</f>
        <v>9557</v>
      </c>
      <c r="S23" s="46">
        <f t="shared" si="1"/>
        <v>9705</v>
      </c>
      <c r="T23" s="46">
        <f t="shared" si="1"/>
        <v>8004</v>
      </c>
      <c r="U23" s="46">
        <f t="shared" si="1"/>
        <v>4630</v>
      </c>
      <c r="V23" s="46">
        <f t="shared" si="1"/>
        <v>8097</v>
      </c>
      <c r="W23" s="46">
        <f t="shared" si="1"/>
        <v>8072</v>
      </c>
      <c r="X23" s="46">
        <f>X6+X7+X8+X9+X18+X20+X21</f>
        <v>3599</v>
      </c>
      <c r="Y23" s="46">
        <f t="shared" ref="Y23:AI23" si="2">Y6+Y7+Y8+Y9+Y18+Y20+Y21</f>
        <v>5750</v>
      </c>
      <c r="Z23" s="46">
        <f t="shared" si="2"/>
        <v>10839</v>
      </c>
      <c r="AA23" s="46">
        <f t="shared" si="2"/>
        <v>9572</v>
      </c>
      <c r="AB23" s="46">
        <f t="shared" si="2"/>
        <v>7031</v>
      </c>
      <c r="AC23" s="46">
        <f t="shared" si="2"/>
        <v>5930</v>
      </c>
      <c r="AD23" s="46">
        <f t="shared" si="2"/>
        <v>7277</v>
      </c>
      <c r="AE23" s="46">
        <f t="shared" si="2"/>
        <v>9075</v>
      </c>
      <c r="AF23" s="46">
        <f t="shared" si="2"/>
        <v>7029</v>
      </c>
      <c r="AG23" s="46">
        <f t="shared" si="2"/>
        <v>5090</v>
      </c>
      <c r="AH23" s="46">
        <f t="shared" si="2"/>
        <v>6532</v>
      </c>
      <c r="AI23" s="35">
        <f t="shared" si="2"/>
        <v>0</v>
      </c>
      <c r="AJ23" s="35"/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3">SUM(E24:AF24)</f>
        <v>0</v>
      </c>
      <c r="E24" s="40"/>
      <c r="F24" s="40"/>
      <c r="G24" s="35"/>
      <c r="H24" s="40"/>
      <c r="I24" s="40"/>
      <c r="J24" s="40"/>
      <c r="K24" s="40"/>
      <c r="L24" s="40"/>
      <c r="M24" s="40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54"/>
      <c r="AJ24" s="54"/>
    </row>
    <row r="25" spans="1:36" ht="16.5" hidden="1" customHeight="1" x14ac:dyDescent="0.3">
      <c r="A25" s="94"/>
      <c r="B25" s="94"/>
      <c r="C25" s="36" t="s">
        <v>26</v>
      </c>
      <c r="D25" s="39">
        <f t="shared" si="3"/>
        <v>0</v>
      </c>
      <c r="E25" s="40"/>
      <c r="F25" s="40"/>
      <c r="G25" s="35"/>
      <c r="H25" s="40"/>
      <c r="I25" s="40"/>
      <c r="J25" s="40"/>
      <c r="K25" s="40"/>
      <c r="L25" s="40"/>
      <c r="M25" s="40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54"/>
      <c r="AJ25" s="54"/>
    </row>
    <row r="26" spans="1:36" ht="16.5" hidden="1" customHeight="1" x14ac:dyDescent="0.3">
      <c r="A26" s="94"/>
      <c r="B26" s="94"/>
      <c r="C26" s="36" t="s">
        <v>35</v>
      </c>
      <c r="D26" s="39">
        <f t="shared" si="3"/>
        <v>0</v>
      </c>
      <c r="E26" s="40"/>
      <c r="F26" s="40"/>
      <c r="G26" s="35"/>
      <c r="H26" s="40"/>
      <c r="I26" s="40"/>
      <c r="J26" s="40"/>
      <c r="K26" s="40"/>
      <c r="L26" s="40"/>
      <c r="M26" s="40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54"/>
      <c r="AJ26" s="54"/>
    </row>
    <row r="27" spans="1:36" ht="16.5" hidden="1" customHeight="1" x14ac:dyDescent="0.3">
      <c r="A27" s="94"/>
      <c r="B27" s="94"/>
      <c r="C27" s="36" t="s">
        <v>48</v>
      </c>
      <c r="D27" s="39">
        <f t="shared" si="3"/>
        <v>0</v>
      </c>
      <c r="E27" s="40"/>
      <c r="F27" s="40"/>
      <c r="G27" s="35"/>
      <c r="H27" s="40"/>
      <c r="I27" s="40"/>
      <c r="J27" s="40"/>
      <c r="K27" s="40"/>
      <c r="L27" s="40"/>
      <c r="M27" s="40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54"/>
      <c r="AJ27" s="54"/>
    </row>
    <row r="28" spans="1:36" ht="16.5" hidden="1" customHeight="1" x14ac:dyDescent="0.3">
      <c r="A28" s="94"/>
      <c r="B28" s="94"/>
      <c r="C28" s="36" t="s">
        <v>41</v>
      </c>
      <c r="D28" s="39">
        <f t="shared" si="3"/>
        <v>0</v>
      </c>
      <c r="E28" s="40"/>
      <c r="F28" s="40"/>
      <c r="G28" s="35"/>
      <c r="H28" s="40"/>
      <c r="I28" s="40"/>
      <c r="J28" s="40"/>
      <c r="K28" s="40"/>
      <c r="L28" s="40"/>
      <c r="M28" s="40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54"/>
      <c r="AJ28" s="54"/>
    </row>
    <row r="29" spans="1:36" ht="16.5" hidden="1" customHeight="1" x14ac:dyDescent="0.3">
      <c r="A29" s="94"/>
      <c r="B29" s="94"/>
      <c r="C29" s="36" t="s">
        <v>28</v>
      </c>
      <c r="D29" s="39">
        <f t="shared" si="3"/>
        <v>0</v>
      </c>
      <c r="E29" s="40"/>
      <c r="F29" s="40"/>
      <c r="G29" s="35"/>
      <c r="H29" s="40"/>
      <c r="I29" s="40"/>
      <c r="J29" s="40"/>
      <c r="K29" s="40"/>
      <c r="L29" s="40"/>
      <c r="M29" s="40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54"/>
      <c r="AJ29" s="54"/>
    </row>
    <row r="30" spans="1:36" ht="16.5" hidden="1" customHeight="1" x14ac:dyDescent="0.3">
      <c r="A30" s="94"/>
      <c r="B30" s="94"/>
      <c r="C30" s="36" t="s">
        <v>40</v>
      </c>
      <c r="D30" s="39">
        <f t="shared" si="3"/>
        <v>0</v>
      </c>
      <c r="E30" s="40"/>
      <c r="F30" s="40"/>
      <c r="G30" s="35"/>
      <c r="H30" s="40"/>
      <c r="I30" s="40"/>
      <c r="J30" s="40"/>
      <c r="K30" s="40"/>
      <c r="L30" s="40"/>
      <c r="M30" s="40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54"/>
      <c r="AJ30" s="54"/>
    </row>
    <row r="31" spans="1:36" ht="16.5" hidden="1" customHeight="1" x14ac:dyDescent="0.3">
      <c r="A31" s="94"/>
      <c r="B31" s="94"/>
      <c r="C31" s="36" t="s">
        <v>38</v>
      </c>
      <c r="D31" s="39">
        <f t="shared" si="3"/>
        <v>0</v>
      </c>
      <c r="E31" s="40"/>
      <c r="F31" s="40"/>
      <c r="G31" s="35"/>
      <c r="H31" s="40"/>
      <c r="I31" s="40"/>
      <c r="J31" s="40"/>
      <c r="K31" s="40"/>
      <c r="L31" s="40"/>
      <c r="M31" s="40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54"/>
      <c r="AJ31" s="54"/>
    </row>
    <row r="32" spans="1:36" ht="16.5" hidden="1" customHeight="1" x14ac:dyDescent="0.3">
      <c r="A32" s="94"/>
      <c r="B32" s="94"/>
      <c r="C32" s="36" t="s">
        <v>12</v>
      </c>
      <c r="D32" s="39">
        <f t="shared" si="3"/>
        <v>0</v>
      </c>
      <c r="E32" s="40"/>
      <c r="F32" s="40"/>
      <c r="G32" s="35"/>
      <c r="H32" s="40"/>
      <c r="I32" s="40"/>
      <c r="J32" s="40"/>
      <c r="K32" s="40"/>
      <c r="L32" s="40"/>
      <c r="M32" s="40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54"/>
      <c r="AJ32" s="54"/>
    </row>
    <row r="33" spans="1:36" ht="16.5" hidden="1" customHeight="1" x14ac:dyDescent="0.3">
      <c r="A33" s="94"/>
      <c r="B33" s="94"/>
      <c r="C33" s="36" t="s">
        <v>44</v>
      </c>
      <c r="D33" s="39">
        <f t="shared" si="3"/>
        <v>0</v>
      </c>
      <c r="E33" s="40"/>
      <c r="F33" s="40"/>
      <c r="G33" s="35"/>
      <c r="H33" s="40"/>
      <c r="I33" s="40"/>
      <c r="J33" s="40"/>
      <c r="K33" s="40"/>
      <c r="L33" s="40"/>
      <c r="M33" s="40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54"/>
      <c r="AJ33" s="54"/>
    </row>
    <row r="34" spans="1:36" ht="16.5" hidden="1" customHeight="1" x14ac:dyDescent="0.3">
      <c r="A34" s="94"/>
      <c r="B34" s="95"/>
      <c r="C34" s="36" t="s">
        <v>21</v>
      </c>
      <c r="D34" s="39">
        <f t="shared" si="3"/>
        <v>0</v>
      </c>
      <c r="E34" s="40"/>
      <c r="F34" s="40"/>
      <c r="G34" s="35"/>
      <c r="H34" s="40"/>
      <c r="I34" s="40"/>
      <c r="J34" s="40"/>
      <c r="K34" s="40"/>
      <c r="L34" s="40"/>
      <c r="M34" s="40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54"/>
      <c r="AJ34" s="54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3"/>
        <v>0</v>
      </c>
      <c r="E35" s="40"/>
      <c r="F35" s="40"/>
      <c r="G35" s="35"/>
      <c r="H35" s="40"/>
      <c r="I35" s="40"/>
      <c r="J35" s="40"/>
      <c r="K35" s="40"/>
      <c r="L35" s="40"/>
      <c r="M35" s="40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54"/>
      <c r="AJ35" s="54"/>
    </row>
    <row r="36" spans="1:36" ht="16.5" hidden="1" customHeight="1" x14ac:dyDescent="0.3">
      <c r="A36" s="94"/>
      <c r="B36" s="94"/>
      <c r="C36" s="36" t="s">
        <v>37</v>
      </c>
      <c r="D36" s="39">
        <f t="shared" si="3"/>
        <v>0</v>
      </c>
      <c r="E36" s="40"/>
      <c r="F36" s="40"/>
      <c r="G36" s="35"/>
      <c r="H36" s="40"/>
      <c r="I36" s="40"/>
      <c r="J36" s="40"/>
      <c r="K36" s="40"/>
      <c r="L36" s="40"/>
      <c r="M36" s="40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54"/>
      <c r="AJ36" s="54"/>
    </row>
    <row r="37" spans="1:36" ht="16.5" hidden="1" customHeight="1" x14ac:dyDescent="0.3">
      <c r="A37" s="94"/>
      <c r="B37" s="94"/>
      <c r="C37" s="36" t="s">
        <v>17</v>
      </c>
      <c r="D37" s="39">
        <f t="shared" si="3"/>
        <v>0</v>
      </c>
      <c r="E37" s="40"/>
      <c r="F37" s="40"/>
      <c r="G37" s="35"/>
      <c r="H37" s="40"/>
      <c r="I37" s="40"/>
      <c r="J37" s="40"/>
      <c r="K37" s="40"/>
      <c r="L37" s="40"/>
      <c r="M37" s="40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54"/>
      <c r="AJ37" s="54"/>
    </row>
    <row r="38" spans="1:36" ht="16.5" hidden="1" customHeight="1" x14ac:dyDescent="0.3">
      <c r="A38" s="94"/>
      <c r="B38" s="94"/>
      <c r="C38" s="36" t="s">
        <v>34</v>
      </c>
      <c r="D38" s="39">
        <f t="shared" si="3"/>
        <v>0</v>
      </c>
      <c r="E38" s="40"/>
      <c r="F38" s="40"/>
      <c r="G38" s="35"/>
      <c r="H38" s="40"/>
      <c r="I38" s="40"/>
      <c r="J38" s="40"/>
      <c r="K38" s="40"/>
      <c r="L38" s="40"/>
      <c r="M38" s="40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54"/>
      <c r="AJ38" s="54"/>
    </row>
    <row r="39" spans="1:36" ht="16.5" hidden="1" customHeight="1" x14ac:dyDescent="0.3">
      <c r="A39" s="94"/>
      <c r="B39" s="95"/>
      <c r="C39" s="36" t="s">
        <v>11</v>
      </c>
      <c r="D39" s="39">
        <f t="shared" si="3"/>
        <v>0</v>
      </c>
      <c r="E39" s="40"/>
      <c r="F39" s="40"/>
      <c r="G39" s="35"/>
      <c r="H39" s="40"/>
      <c r="I39" s="40"/>
      <c r="J39" s="40"/>
      <c r="K39" s="40"/>
      <c r="L39" s="40"/>
      <c r="M39" s="40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54"/>
      <c r="AJ39" s="54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3"/>
        <v>0</v>
      </c>
      <c r="E40" s="40"/>
      <c r="F40" s="40"/>
      <c r="G40" s="35"/>
      <c r="H40" s="40"/>
      <c r="I40" s="40"/>
      <c r="J40" s="40"/>
      <c r="K40" s="40"/>
      <c r="L40" s="40"/>
      <c r="M40" s="40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54"/>
      <c r="AJ40" s="54"/>
    </row>
    <row r="41" spans="1:36" ht="16.5" hidden="1" customHeight="1" x14ac:dyDescent="0.3">
      <c r="A41" s="94"/>
      <c r="B41" s="94"/>
      <c r="C41" s="36" t="s">
        <v>49</v>
      </c>
      <c r="D41" s="39">
        <f t="shared" si="3"/>
        <v>0</v>
      </c>
      <c r="E41" s="40"/>
      <c r="F41" s="40"/>
      <c r="G41" s="35"/>
      <c r="H41" s="40"/>
      <c r="I41" s="40"/>
      <c r="J41" s="40"/>
      <c r="K41" s="40"/>
      <c r="L41" s="40"/>
      <c r="M41" s="40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54"/>
      <c r="AJ41" s="54"/>
    </row>
    <row r="42" spans="1:36" ht="16.5" hidden="1" customHeight="1" x14ac:dyDescent="0.3">
      <c r="A42" s="94"/>
      <c r="B42" s="94"/>
      <c r="C42" s="36" t="s">
        <v>46</v>
      </c>
      <c r="D42" s="39">
        <f t="shared" si="3"/>
        <v>0</v>
      </c>
      <c r="E42" s="40"/>
      <c r="F42" s="40"/>
      <c r="G42" s="35"/>
      <c r="H42" s="40"/>
      <c r="I42" s="40"/>
      <c r="J42" s="40"/>
      <c r="K42" s="40"/>
      <c r="L42" s="40"/>
      <c r="M42" s="40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54"/>
      <c r="AJ42" s="54"/>
    </row>
    <row r="43" spans="1:36" ht="16.5" hidden="1" customHeight="1" x14ac:dyDescent="0.3">
      <c r="A43" s="94"/>
      <c r="B43" s="94"/>
      <c r="C43" s="36" t="s">
        <v>52</v>
      </c>
      <c r="D43" s="39">
        <f t="shared" si="3"/>
        <v>0</v>
      </c>
      <c r="E43" s="40"/>
      <c r="F43" s="40"/>
      <c r="G43" s="35"/>
      <c r="H43" s="40"/>
      <c r="I43" s="40"/>
      <c r="J43" s="40"/>
      <c r="K43" s="40"/>
      <c r="L43" s="40"/>
      <c r="M43" s="40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54"/>
      <c r="AJ43" s="54"/>
    </row>
    <row r="44" spans="1:36" ht="16.5" hidden="1" customHeight="1" x14ac:dyDescent="0.3">
      <c r="A44" s="94"/>
      <c r="B44" s="94"/>
      <c r="C44" s="36" t="s">
        <v>43</v>
      </c>
      <c r="D44" s="39">
        <f t="shared" si="3"/>
        <v>0</v>
      </c>
      <c r="E44" s="40"/>
      <c r="F44" s="40"/>
      <c r="G44" s="35"/>
      <c r="H44" s="40"/>
      <c r="I44" s="40"/>
      <c r="J44" s="40"/>
      <c r="K44" s="40"/>
      <c r="L44" s="40"/>
      <c r="M44" s="40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54"/>
      <c r="AJ44" s="54"/>
    </row>
    <row r="45" spans="1:36" ht="16.5" hidden="1" customHeight="1" x14ac:dyDescent="0.3">
      <c r="A45" s="94"/>
      <c r="B45" s="95"/>
      <c r="C45" s="36" t="s">
        <v>30</v>
      </c>
      <c r="D45" s="39">
        <f t="shared" si="3"/>
        <v>0</v>
      </c>
      <c r="E45" s="40"/>
      <c r="F45" s="40"/>
      <c r="G45" s="35"/>
      <c r="H45" s="40"/>
      <c r="I45" s="40"/>
      <c r="J45" s="40"/>
      <c r="K45" s="40"/>
      <c r="L45" s="40"/>
      <c r="M45" s="40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54"/>
      <c r="AJ45" s="54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0"/>
      <c r="F46" s="40"/>
      <c r="G46" s="48"/>
      <c r="H46" s="40"/>
      <c r="I46" s="40"/>
      <c r="J46" s="40"/>
      <c r="K46" s="40"/>
      <c r="L46" s="40"/>
      <c r="M46" s="40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0"/>
      <c r="AJ46" s="40"/>
    </row>
    <row r="47" spans="1:36" x14ac:dyDescent="0.3">
      <c r="A47" s="95"/>
      <c r="B47" s="95"/>
      <c r="C47" s="47" t="s">
        <v>15</v>
      </c>
      <c r="D47" s="39">
        <f>SUM(E47:AH47)</f>
        <v>51472</v>
      </c>
      <c r="E47" s="40">
        <f>1500+300</f>
        <v>1800</v>
      </c>
      <c r="F47" s="40">
        <f>850+1380</f>
        <v>2230</v>
      </c>
      <c r="G47" s="40">
        <f>1070+1010</f>
        <v>2080</v>
      </c>
      <c r="H47" s="40">
        <f>676+1000</f>
        <v>1676</v>
      </c>
      <c r="I47" s="40">
        <f>300+1500</f>
        <v>1800</v>
      </c>
      <c r="J47" s="40">
        <f>1150+1350</f>
        <v>2500</v>
      </c>
      <c r="K47" s="40">
        <f>1070+1010</f>
        <v>2080</v>
      </c>
      <c r="L47" s="40">
        <f>676+1000</f>
        <v>1676</v>
      </c>
      <c r="M47" s="40">
        <f>200+530</f>
        <v>730</v>
      </c>
      <c r="N47" s="41">
        <f>650+1330</f>
        <v>1980</v>
      </c>
      <c r="O47" s="41">
        <f>1070+980</f>
        <v>2050</v>
      </c>
      <c r="P47" s="41">
        <f>876+1310</f>
        <v>2186</v>
      </c>
      <c r="Q47" s="41">
        <f>1200+300</f>
        <v>1500</v>
      </c>
      <c r="R47" s="43">
        <f>1050+1330</f>
        <v>2380</v>
      </c>
      <c r="S47" s="43">
        <f>1040+980</f>
        <v>2020</v>
      </c>
      <c r="T47" s="43">
        <f>846+500</f>
        <v>1346</v>
      </c>
      <c r="U47" s="43">
        <f>300+530</f>
        <v>830</v>
      </c>
      <c r="V47" s="43">
        <f>650+1330</f>
        <v>1980</v>
      </c>
      <c r="W47" s="43">
        <f>1010+910</f>
        <v>1920</v>
      </c>
      <c r="X47" s="43">
        <v>846</v>
      </c>
      <c r="Y47" s="43">
        <v>1500</v>
      </c>
      <c r="Z47" s="43">
        <f>750+1230</f>
        <v>1980</v>
      </c>
      <c r="AA47" s="43">
        <f>1010+1010</f>
        <v>2020</v>
      </c>
      <c r="AB47" s="43">
        <f>846+350</f>
        <v>1196</v>
      </c>
      <c r="AC47" s="43">
        <f>200+1000</f>
        <v>1200</v>
      </c>
      <c r="AD47" s="43">
        <f>850+1200</f>
        <v>2050</v>
      </c>
      <c r="AE47" s="43">
        <f>710+1010</f>
        <v>1720</v>
      </c>
      <c r="AF47" s="43">
        <f>846+750</f>
        <v>1596</v>
      </c>
      <c r="AG47" s="43">
        <f>200+560</f>
        <v>760</v>
      </c>
      <c r="AH47" s="43">
        <f>650+1190</f>
        <v>1840</v>
      </c>
      <c r="AI47" s="54"/>
      <c r="AJ47" s="54"/>
    </row>
    <row r="48" spans="1:36" ht="16.5" customHeight="1" x14ac:dyDescent="0.3">
      <c r="A48" s="88" t="s">
        <v>4</v>
      </c>
      <c r="B48" s="89"/>
      <c r="C48" s="90"/>
      <c r="D48" s="39">
        <f>SUM(E48:AH48)</f>
        <v>51472</v>
      </c>
      <c r="E48" s="49">
        <v>1800</v>
      </c>
      <c r="F48" s="49">
        <v>2230</v>
      </c>
      <c r="G48" s="49">
        <v>2080</v>
      </c>
      <c r="H48" s="49">
        <v>1676</v>
      </c>
      <c r="I48" s="49">
        <v>1800</v>
      </c>
      <c r="J48" s="49">
        <v>2500</v>
      </c>
      <c r="K48" s="49">
        <v>2080</v>
      </c>
      <c r="L48" s="49">
        <v>1676</v>
      </c>
      <c r="M48" s="49">
        <v>730</v>
      </c>
      <c r="N48" s="50">
        <v>1980</v>
      </c>
      <c r="O48" s="50">
        <v>2050</v>
      </c>
      <c r="P48" s="50">
        <v>2186</v>
      </c>
      <c r="Q48" s="50">
        <v>1500</v>
      </c>
      <c r="R48" s="50">
        <v>2380</v>
      </c>
      <c r="S48" s="50">
        <v>2020</v>
      </c>
      <c r="T48" s="50">
        <v>1346</v>
      </c>
      <c r="U48" s="50">
        <v>830</v>
      </c>
      <c r="V48" s="50">
        <v>1980</v>
      </c>
      <c r="W48" s="50">
        <v>1920</v>
      </c>
      <c r="X48" s="50">
        <v>846</v>
      </c>
      <c r="Y48" s="50">
        <v>1500</v>
      </c>
      <c r="Z48" s="50">
        <v>1980</v>
      </c>
      <c r="AA48" s="50">
        <v>2020</v>
      </c>
      <c r="AB48" s="50">
        <v>1196</v>
      </c>
      <c r="AC48" s="50">
        <v>1200</v>
      </c>
      <c r="AD48" s="50">
        <v>2050</v>
      </c>
      <c r="AE48" s="50">
        <v>1720</v>
      </c>
      <c r="AF48" s="50">
        <v>1596</v>
      </c>
      <c r="AG48" s="50">
        <v>760</v>
      </c>
      <c r="AH48" s="50">
        <v>1840</v>
      </c>
      <c r="AI48" s="49"/>
      <c r="AJ48" s="49"/>
    </row>
    <row r="49" spans="1:36" ht="16.5" customHeight="1" x14ac:dyDescent="0.3">
      <c r="A49" s="100" t="s">
        <v>5</v>
      </c>
      <c r="B49" s="101"/>
      <c r="C49" s="102"/>
      <c r="D49" s="51">
        <f>SUM(E49:AH49)</f>
        <v>296420</v>
      </c>
      <c r="E49" s="51">
        <f t="shared" ref="E49:W49" si="4">E48+E23</f>
        <v>9160</v>
      </c>
      <c r="F49" s="51">
        <f t="shared" si="4"/>
        <v>11478</v>
      </c>
      <c r="G49" s="51">
        <f t="shared" si="4"/>
        <v>13026</v>
      </c>
      <c r="H49" s="51">
        <f t="shared" si="4"/>
        <v>10000</v>
      </c>
      <c r="I49" s="51">
        <f t="shared" si="4"/>
        <v>9480</v>
      </c>
      <c r="J49" s="51">
        <f t="shared" si="4"/>
        <v>12550</v>
      </c>
      <c r="K49" s="51">
        <f t="shared" si="4"/>
        <v>16289</v>
      </c>
      <c r="L49" s="51">
        <f t="shared" si="4"/>
        <v>11200</v>
      </c>
      <c r="M49" s="51">
        <f t="shared" si="4"/>
        <v>6700</v>
      </c>
      <c r="N49" s="52">
        <f t="shared" si="4"/>
        <v>10867</v>
      </c>
      <c r="O49" s="52">
        <f t="shared" si="4"/>
        <v>12207</v>
      </c>
      <c r="P49" s="52">
        <f t="shared" si="4"/>
        <v>12430</v>
      </c>
      <c r="Q49" s="52">
        <f t="shared" si="4"/>
        <v>8060</v>
      </c>
      <c r="R49" s="52">
        <f t="shared" si="4"/>
        <v>11937</v>
      </c>
      <c r="S49" s="52">
        <f t="shared" si="4"/>
        <v>11725</v>
      </c>
      <c r="T49" s="52">
        <f t="shared" si="4"/>
        <v>9350</v>
      </c>
      <c r="U49" s="52">
        <f t="shared" si="4"/>
        <v>5460</v>
      </c>
      <c r="V49" s="52">
        <f t="shared" si="4"/>
        <v>10077</v>
      </c>
      <c r="W49" s="52">
        <f t="shared" si="4"/>
        <v>9992</v>
      </c>
      <c r="X49" s="52">
        <f>X48+X23</f>
        <v>4445</v>
      </c>
      <c r="Y49" s="52">
        <f t="shared" ref="Y49:AH49" si="5">Y48+Y23</f>
        <v>7250</v>
      </c>
      <c r="Z49" s="52">
        <f t="shared" si="5"/>
        <v>12819</v>
      </c>
      <c r="AA49" s="52">
        <f t="shared" si="5"/>
        <v>11592</v>
      </c>
      <c r="AB49" s="52">
        <f t="shared" si="5"/>
        <v>8227</v>
      </c>
      <c r="AC49" s="52">
        <f t="shared" si="5"/>
        <v>7130</v>
      </c>
      <c r="AD49" s="52">
        <f t="shared" si="5"/>
        <v>9327</v>
      </c>
      <c r="AE49" s="52">
        <f t="shared" si="5"/>
        <v>10795</v>
      </c>
      <c r="AF49" s="52">
        <f t="shared" si="5"/>
        <v>8625</v>
      </c>
      <c r="AG49" s="52">
        <f t="shared" si="5"/>
        <v>5850</v>
      </c>
      <c r="AH49" s="52">
        <f t="shared" si="5"/>
        <v>8372</v>
      </c>
      <c r="AI49" s="51"/>
      <c r="AJ49" s="51"/>
    </row>
    <row r="50" spans="1:36" x14ac:dyDescent="0.3"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</row>
    <row r="51" spans="1:36" x14ac:dyDescent="0.3"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</row>
    <row r="54" spans="1:36" x14ac:dyDescent="0.3">
      <c r="R54" s="58" t="s">
        <v>96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H57" sqref="H57"/>
    </sheetView>
  </sheetViews>
  <sheetFormatPr defaultColWidth="8.75" defaultRowHeight="16.5" x14ac:dyDescent="0.3"/>
  <cols>
    <col min="1" max="1" width="20.25" style="1" bestFit="1" customWidth="1"/>
    <col min="2" max="2" width="7.375" style="1" customWidth="1"/>
    <col min="3" max="3" width="20.25" style="1" bestFit="1" customWidth="1"/>
    <col min="4" max="4" width="10.375" style="1" customWidth="1"/>
    <col min="5" max="33" width="9.125" style="1" customWidth="1"/>
    <col min="34" max="34" width="8.875" style="1" bestFit="1" customWidth="1"/>
    <col min="35" max="35" width="8.875" style="1" hidden="1" customWidth="1"/>
    <col min="36" max="36" width="8.75" style="1" bestFit="1" customWidth="1"/>
    <col min="37" max="16384" width="8.75" style="1"/>
  </cols>
  <sheetData>
    <row r="1" spans="1:36" ht="34.5" customHeight="1" x14ac:dyDescent="0.3">
      <c r="B1" s="9"/>
      <c r="C1" s="9"/>
      <c r="D1" s="82" t="s">
        <v>53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36" ht="14.25" customHeight="1" x14ac:dyDescent="0.3">
      <c r="A2" s="6"/>
      <c r="B2" s="7"/>
      <c r="C2" s="7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7"/>
      <c r="Q2" s="7"/>
    </row>
    <row r="3" spans="1:36" ht="16.5" customHeight="1" x14ac:dyDescent="0.3">
      <c r="A3" s="71" t="s">
        <v>20</v>
      </c>
      <c r="B3" s="72"/>
      <c r="C3" s="73"/>
      <c r="D3" s="84" t="s">
        <v>6</v>
      </c>
      <c r="E3" s="4">
        <v>1</v>
      </c>
      <c r="F3" s="4">
        <v>2</v>
      </c>
      <c r="G3" s="4">
        <v>3</v>
      </c>
      <c r="H3" s="4">
        <v>4</v>
      </c>
      <c r="I3" s="4">
        <v>5</v>
      </c>
      <c r="J3" s="4">
        <v>6</v>
      </c>
      <c r="K3" s="4">
        <v>7</v>
      </c>
      <c r="L3" s="4">
        <v>8</v>
      </c>
      <c r="M3" s="4">
        <v>9</v>
      </c>
      <c r="N3" s="4">
        <v>10</v>
      </c>
      <c r="O3" s="4">
        <v>11</v>
      </c>
      <c r="P3" s="4">
        <v>12</v>
      </c>
      <c r="Q3" s="4">
        <v>13</v>
      </c>
      <c r="R3" s="4">
        <v>14</v>
      </c>
      <c r="S3" s="4">
        <v>15</v>
      </c>
      <c r="T3" s="4">
        <v>16</v>
      </c>
      <c r="U3" s="4">
        <v>17</v>
      </c>
      <c r="V3" s="4">
        <v>18</v>
      </c>
      <c r="W3" s="4">
        <v>19</v>
      </c>
      <c r="X3" s="4">
        <v>20</v>
      </c>
      <c r="Y3" s="4">
        <v>21</v>
      </c>
      <c r="Z3" s="4">
        <v>22</v>
      </c>
      <c r="AA3" s="4">
        <v>23</v>
      </c>
      <c r="AB3" s="4">
        <v>24</v>
      </c>
      <c r="AC3" s="4">
        <v>25</v>
      </c>
      <c r="AD3" s="4">
        <v>26</v>
      </c>
      <c r="AE3" s="4">
        <v>27</v>
      </c>
      <c r="AF3" s="4">
        <v>28</v>
      </c>
      <c r="AG3" s="4">
        <v>29</v>
      </c>
      <c r="AH3" s="4">
        <v>30</v>
      </c>
      <c r="AI3" s="4">
        <v>31</v>
      </c>
      <c r="AJ3" s="4">
        <v>31</v>
      </c>
    </row>
    <row r="4" spans="1:36" ht="16.5" customHeight="1" x14ac:dyDescent="0.3">
      <c r="A4" s="71" t="s">
        <v>19</v>
      </c>
      <c r="B4" s="72"/>
      <c r="C4" s="73"/>
      <c r="D4" s="85"/>
      <c r="E4" s="15" t="s">
        <v>82</v>
      </c>
      <c r="F4" s="15" t="s">
        <v>83</v>
      </c>
      <c r="G4" s="15" t="s">
        <v>79</v>
      </c>
      <c r="H4" s="15" t="s">
        <v>80</v>
      </c>
      <c r="I4" s="15" t="s">
        <v>81</v>
      </c>
      <c r="J4" s="15" t="s">
        <v>75</v>
      </c>
      <c r="K4" s="15" t="s">
        <v>76</v>
      </c>
      <c r="L4" s="15" t="s">
        <v>77</v>
      </c>
      <c r="M4" s="15" t="s">
        <v>78</v>
      </c>
      <c r="N4" s="15" t="s">
        <v>79</v>
      </c>
      <c r="O4" s="15" t="s">
        <v>80</v>
      </c>
      <c r="P4" s="15" t="s">
        <v>81</v>
      </c>
      <c r="Q4" s="15" t="s">
        <v>75</v>
      </c>
      <c r="R4" s="15" t="s">
        <v>76</v>
      </c>
      <c r="S4" s="15" t="s">
        <v>77</v>
      </c>
      <c r="T4" s="15" t="s">
        <v>78</v>
      </c>
      <c r="U4" s="15" t="s">
        <v>79</v>
      </c>
      <c r="V4" s="15" t="s">
        <v>80</v>
      </c>
      <c r="W4" s="15" t="s">
        <v>81</v>
      </c>
      <c r="X4" s="15" t="s">
        <v>75</v>
      </c>
      <c r="Y4" s="15" t="s">
        <v>76</v>
      </c>
      <c r="Z4" s="15" t="s">
        <v>77</v>
      </c>
      <c r="AA4" s="15" t="s">
        <v>78</v>
      </c>
      <c r="AB4" s="15" t="s">
        <v>79</v>
      </c>
      <c r="AC4" s="15" t="s">
        <v>80</v>
      </c>
      <c r="AD4" s="15" t="s">
        <v>81</v>
      </c>
      <c r="AE4" s="15" t="s">
        <v>75</v>
      </c>
      <c r="AF4" s="15" t="s">
        <v>76</v>
      </c>
      <c r="AG4" s="15" t="s">
        <v>77</v>
      </c>
      <c r="AH4" s="15" t="s">
        <v>78</v>
      </c>
      <c r="AI4" s="15" t="s">
        <v>79</v>
      </c>
      <c r="AJ4" s="15" t="s">
        <v>85</v>
      </c>
    </row>
    <row r="5" spans="1:36" ht="26.25" customHeight="1" x14ac:dyDescent="0.3">
      <c r="A5" s="77" t="s">
        <v>32</v>
      </c>
      <c r="B5" s="80" t="s">
        <v>31</v>
      </c>
      <c r="C5" s="81"/>
      <c r="D5" s="5"/>
      <c r="E5" s="18" t="s">
        <v>84</v>
      </c>
      <c r="F5" s="18" t="s">
        <v>84</v>
      </c>
      <c r="G5" s="18" t="s">
        <v>84</v>
      </c>
      <c r="H5" s="18" t="s">
        <v>84</v>
      </c>
      <c r="I5" s="18" t="s">
        <v>84</v>
      </c>
      <c r="J5" s="18" t="s">
        <v>84</v>
      </c>
      <c r="K5" s="18" t="s">
        <v>84</v>
      </c>
      <c r="L5" s="18" t="s">
        <v>84</v>
      </c>
      <c r="M5" s="18" t="s">
        <v>84</v>
      </c>
      <c r="N5" s="18" t="s">
        <v>86</v>
      </c>
      <c r="O5" s="18" t="s">
        <v>87</v>
      </c>
      <c r="P5" s="18" t="s">
        <v>84</v>
      </c>
      <c r="Q5" s="18" t="s">
        <v>88</v>
      </c>
      <c r="R5" s="18" t="s">
        <v>84</v>
      </c>
      <c r="S5" s="18" t="s">
        <v>84</v>
      </c>
      <c r="T5" s="18" t="s">
        <v>84</v>
      </c>
      <c r="U5" s="18" t="s">
        <v>84</v>
      </c>
      <c r="V5" s="18" t="s">
        <v>84</v>
      </c>
      <c r="W5" s="18" t="s">
        <v>84</v>
      </c>
      <c r="X5" s="18" t="s">
        <v>84</v>
      </c>
      <c r="Y5" s="18" t="s">
        <v>84</v>
      </c>
      <c r="Z5" s="18" t="s">
        <v>84</v>
      </c>
      <c r="AA5" s="18" t="s">
        <v>87</v>
      </c>
      <c r="AB5" s="18" t="s">
        <v>84</v>
      </c>
      <c r="AC5" s="18" t="s">
        <v>84</v>
      </c>
      <c r="AD5" s="18" t="s">
        <v>84</v>
      </c>
      <c r="AE5" s="18" t="s">
        <v>84</v>
      </c>
      <c r="AF5" s="18" t="s">
        <v>84</v>
      </c>
      <c r="AG5" s="18" t="s">
        <v>89</v>
      </c>
      <c r="AH5" s="18" t="s">
        <v>84</v>
      </c>
      <c r="AI5" s="8"/>
      <c r="AJ5" s="18" t="s">
        <v>84</v>
      </c>
    </row>
    <row r="6" spans="1:36" ht="16.5" customHeight="1" x14ac:dyDescent="0.3">
      <c r="A6" s="78"/>
      <c r="B6" s="69" t="s">
        <v>22</v>
      </c>
      <c r="C6" s="70"/>
      <c r="D6" s="10">
        <f t="shared" ref="D6:D22" si="0">SUM(E6:AH6)</f>
        <v>3510</v>
      </c>
      <c r="E6" s="23">
        <v>300</v>
      </c>
      <c r="F6" s="23">
        <v>0</v>
      </c>
      <c r="G6" s="23">
        <v>120</v>
      </c>
      <c r="H6" s="23">
        <v>0</v>
      </c>
      <c r="I6" s="23">
        <v>300</v>
      </c>
      <c r="J6" s="23">
        <v>0</v>
      </c>
      <c r="K6" s="23">
        <v>120</v>
      </c>
      <c r="L6" s="23">
        <v>0</v>
      </c>
      <c r="M6" s="23">
        <v>290</v>
      </c>
      <c r="N6" s="23">
        <v>0</v>
      </c>
      <c r="O6" s="24">
        <v>120</v>
      </c>
      <c r="P6" s="23">
        <v>0</v>
      </c>
      <c r="Q6" s="23">
        <v>400</v>
      </c>
      <c r="R6" s="25">
        <v>0</v>
      </c>
      <c r="S6" s="25">
        <v>120</v>
      </c>
      <c r="T6" s="25">
        <v>0</v>
      </c>
      <c r="U6" s="25">
        <v>400</v>
      </c>
      <c r="V6" s="25">
        <v>0</v>
      </c>
      <c r="W6" s="25">
        <v>120</v>
      </c>
      <c r="X6" s="25">
        <v>0</v>
      </c>
      <c r="Y6" s="25">
        <v>400</v>
      </c>
      <c r="Z6" s="25">
        <v>0</v>
      </c>
      <c r="AA6" s="25">
        <v>120</v>
      </c>
      <c r="AB6" s="25">
        <v>0</v>
      </c>
      <c r="AC6" s="25">
        <v>290</v>
      </c>
      <c r="AD6" s="25">
        <v>0</v>
      </c>
      <c r="AE6" s="25">
        <v>120</v>
      </c>
      <c r="AF6" s="25">
        <v>0</v>
      </c>
      <c r="AG6" s="25">
        <v>290</v>
      </c>
      <c r="AH6" s="26">
        <v>0</v>
      </c>
      <c r="AI6" s="25"/>
      <c r="AJ6" s="26">
        <v>120</v>
      </c>
    </row>
    <row r="7" spans="1:36" ht="16.5" customHeight="1" x14ac:dyDescent="0.3">
      <c r="A7" s="78"/>
      <c r="B7" s="69" t="s">
        <v>23</v>
      </c>
      <c r="C7" s="70"/>
      <c r="D7" s="10">
        <f t="shared" si="0"/>
        <v>33102</v>
      </c>
      <c r="E7" s="23">
        <v>953</v>
      </c>
      <c r="F7" s="23">
        <v>800</v>
      </c>
      <c r="G7" s="23">
        <v>1500</v>
      </c>
      <c r="H7" s="23">
        <v>1480</v>
      </c>
      <c r="I7" s="23">
        <v>830</v>
      </c>
      <c r="J7" s="23">
        <v>850</v>
      </c>
      <c r="K7" s="23">
        <v>680</v>
      </c>
      <c r="L7" s="23">
        <v>1480</v>
      </c>
      <c r="M7" s="23">
        <v>1000</v>
      </c>
      <c r="N7" s="23">
        <v>850</v>
      </c>
      <c r="O7" s="23">
        <v>1150</v>
      </c>
      <c r="P7" s="23">
        <v>1480</v>
      </c>
      <c r="Q7" s="23">
        <v>900</v>
      </c>
      <c r="R7" s="25">
        <v>800</v>
      </c>
      <c r="S7" s="25">
        <v>1100</v>
      </c>
      <c r="T7" s="25">
        <v>1480</v>
      </c>
      <c r="U7" s="25">
        <v>953</v>
      </c>
      <c r="V7" s="25">
        <v>800</v>
      </c>
      <c r="W7" s="25">
        <v>680</v>
      </c>
      <c r="X7" s="25">
        <v>1480</v>
      </c>
      <c r="Y7" s="25">
        <v>700</v>
      </c>
      <c r="Z7" s="25">
        <v>1490</v>
      </c>
      <c r="AA7" s="25">
        <v>680</v>
      </c>
      <c r="AB7" s="25">
        <v>1480</v>
      </c>
      <c r="AC7" s="25">
        <v>1403</v>
      </c>
      <c r="AD7" s="25">
        <v>1840</v>
      </c>
      <c r="AE7" s="25">
        <v>1280</v>
      </c>
      <c r="AF7" s="25">
        <v>1190</v>
      </c>
      <c r="AG7" s="25">
        <v>993</v>
      </c>
      <c r="AH7" s="25">
        <v>800</v>
      </c>
      <c r="AI7" s="25"/>
      <c r="AJ7" s="25">
        <v>680</v>
      </c>
    </row>
    <row r="8" spans="1:36" ht="16.5" customHeight="1" x14ac:dyDescent="0.3">
      <c r="A8" s="78"/>
      <c r="B8" s="69" t="s">
        <v>25</v>
      </c>
      <c r="C8" s="70"/>
      <c r="D8" s="10">
        <f t="shared" si="0"/>
        <v>36686</v>
      </c>
      <c r="E8" s="23">
        <v>1840</v>
      </c>
      <c r="F8" s="23">
        <v>1236</v>
      </c>
      <c r="G8" s="23">
        <v>460</v>
      </c>
      <c r="H8" s="23">
        <v>1300</v>
      </c>
      <c r="I8" s="23">
        <v>1870</v>
      </c>
      <c r="J8" s="23">
        <v>1536</v>
      </c>
      <c r="K8" s="23">
        <v>460</v>
      </c>
      <c r="L8" s="23">
        <v>1200</v>
      </c>
      <c r="M8" s="23">
        <v>1830</v>
      </c>
      <c r="N8" s="23">
        <v>1244</v>
      </c>
      <c r="O8" s="23">
        <v>460</v>
      </c>
      <c r="P8" s="23">
        <v>1300</v>
      </c>
      <c r="Q8" s="23">
        <f>1810+1436</f>
        <v>3246</v>
      </c>
      <c r="R8" s="25">
        <v>1426</v>
      </c>
      <c r="S8" s="25">
        <v>460</v>
      </c>
      <c r="T8" s="25">
        <v>900</v>
      </c>
      <c r="U8" s="25">
        <v>1810</v>
      </c>
      <c r="V8" s="25">
        <v>1426</v>
      </c>
      <c r="W8" s="25">
        <v>410</v>
      </c>
      <c r="X8" s="25">
        <v>1400</v>
      </c>
      <c r="Y8" s="25">
        <v>1810</v>
      </c>
      <c r="Z8" s="25">
        <v>0</v>
      </c>
      <c r="AA8" s="25">
        <v>410</v>
      </c>
      <c r="AB8" s="25">
        <v>1200</v>
      </c>
      <c r="AC8" s="25">
        <v>1430</v>
      </c>
      <c r="AD8" s="25">
        <v>1976</v>
      </c>
      <c r="AE8" s="25">
        <v>410</v>
      </c>
      <c r="AF8" s="25">
        <v>1500</v>
      </c>
      <c r="AG8" s="25">
        <v>1250</v>
      </c>
      <c r="AH8" s="25">
        <v>886</v>
      </c>
      <c r="AI8" s="25"/>
      <c r="AJ8" s="25">
        <v>410</v>
      </c>
    </row>
    <row r="9" spans="1:36" ht="16.5" customHeight="1" x14ac:dyDescent="0.3">
      <c r="A9" s="78"/>
      <c r="B9" s="69" t="s">
        <v>29</v>
      </c>
      <c r="C9" s="70"/>
      <c r="D9" s="10">
        <f t="shared" si="0"/>
        <v>42190</v>
      </c>
      <c r="E9" s="23">
        <f>785+1873</f>
        <v>2658</v>
      </c>
      <c r="F9" s="23">
        <f>743+750</f>
        <v>1493</v>
      </c>
      <c r="G9" s="23">
        <f>550+200</f>
        <v>750</v>
      </c>
      <c r="H9" s="23">
        <f>110+680</f>
        <v>790</v>
      </c>
      <c r="I9" s="23">
        <f>670+1485</f>
        <v>2155</v>
      </c>
      <c r="J9" s="23">
        <v>1863</v>
      </c>
      <c r="K9" s="23">
        <f>550+740</f>
        <v>1290</v>
      </c>
      <c r="L9" s="23">
        <v>790</v>
      </c>
      <c r="M9" s="23">
        <f>1470+760</f>
        <v>2230</v>
      </c>
      <c r="N9" s="23">
        <v>1713</v>
      </c>
      <c r="O9" s="23">
        <f>550+160</f>
        <v>710</v>
      </c>
      <c r="P9" s="23">
        <v>850</v>
      </c>
      <c r="Q9" s="23">
        <f>1633+1975</f>
        <v>3608</v>
      </c>
      <c r="R9" s="25">
        <f>800+633</f>
        <v>1433</v>
      </c>
      <c r="S9" s="25">
        <f>200+550</f>
        <v>750</v>
      </c>
      <c r="T9" s="25">
        <f>680+90</f>
        <v>770</v>
      </c>
      <c r="U9" s="25">
        <f>475+1975</f>
        <v>2450</v>
      </c>
      <c r="V9" s="25">
        <f>800+733</f>
        <v>1533</v>
      </c>
      <c r="W9" s="25">
        <f>740+500</f>
        <v>1240</v>
      </c>
      <c r="X9" s="25">
        <f>571+110</f>
        <v>681</v>
      </c>
      <c r="Y9" s="25">
        <f>800+1975</f>
        <v>2775</v>
      </c>
      <c r="Z9" s="25">
        <v>1460</v>
      </c>
      <c r="AA9" s="25">
        <v>1240</v>
      </c>
      <c r="AB9" s="25">
        <v>790</v>
      </c>
      <c r="AC9" s="25">
        <f>470+657</f>
        <v>1127</v>
      </c>
      <c r="AD9" s="25">
        <f>770+733</f>
        <v>1503</v>
      </c>
      <c r="AE9" s="25">
        <v>700</v>
      </c>
      <c r="AF9" s="25">
        <f>160+680</f>
        <v>840</v>
      </c>
      <c r="AG9" s="25">
        <f>395+470</f>
        <v>865</v>
      </c>
      <c r="AH9" s="25">
        <v>1133</v>
      </c>
      <c r="AI9" s="25"/>
      <c r="AJ9" s="25">
        <v>1240</v>
      </c>
    </row>
    <row r="10" spans="1:36" ht="16.5" customHeight="1" x14ac:dyDescent="0.3">
      <c r="A10" s="78"/>
      <c r="B10" s="80" t="s">
        <v>18</v>
      </c>
      <c r="C10" s="81"/>
      <c r="D10" s="10">
        <f t="shared" si="0"/>
        <v>0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</row>
    <row r="11" spans="1:36" ht="16.5" customHeight="1" x14ac:dyDescent="0.3">
      <c r="A11" s="78"/>
      <c r="B11" s="80" t="s">
        <v>39</v>
      </c>
      <c r="C11" s="81"/>
      <c r="D11" s="10">
        <f t="shared" si="0"/>
        <v>0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spans="1:36" ht="16.5" customHeight="1" x14ac:dyDescent="0.3">
      <c r="A12" s="78"/>
      <c r="B12" s="69" t="s">
        <v>45</v>
      </c>
      <c r="C12" s="70"/>
      <c r="D12" s="10">
        <f t="shared" si="0"/>
        <v>0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36" ht="16.5" customHeight="1" x14ac:dyDescent="0.3">
      <c r="A13" s="78"/>
      <c r="B13" s="80" t="s">
        <v>47</v>
      </c>
      <c r="C13" s="81"/>
      <c r="D13" s="10">
        <f t="shared" si="0"/>
        <v>0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spans="1:36" ht="16.5" customHeight="1" x14ac:dyDescent="0.3">
      <c r="A14" s="78"/>
      <c r="B14" s="80" t="s">
        <v>3</v>
      </c>
      <c r="C14" s="81"/>
      <c r="D14" s="10">
        <f t="shared" si="0"/>
        <v>0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spans="1:36" ht="16.5" customHeight="1" x14ac:dyDescent="0.3">
      <c r="A15" s="78"/>
      <c r="B15" s="80" t="s">
        <v>8</v>
      </c>
      <c r="C15" s="81"/>
      <c r="D15" s="10">
        <f t="shared" si="0"/>
        <v>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spans="1:36" ht="16.5" customHeight="1" x14ac:dyDescent="0.3">
      <c r="A16" s="78"/>
      <c r="B16" s="80" t="s">
        <v>14</v>
      </c>
      <c r="C16" s="81"/>
      <c r="D16" s="10">
        <f t="shared" si="0"/>
        <v>0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</row>
    <row r="17" spans="1:36" ht="16.5" customHeight="1" x14ac:dyDescent="0.3">
      <c r="A17" s="78"/>
      <c r="B17" s="80" t="s">
        <v>27</v>
      </c>
      <c r="C17" s="81"/>
      <c r="D17" s="10">
        <f t="shared" si="0"/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spans="1:36" ht="16.5" customHeight="1" x14ac:dyDescent="0.3">
      <c r="A18" s="78"/>
      <c r="B18" s="69" t="s">
        <v>1</v>
      </c>
      <c r="C18" s="70"/>
      <c r="D18" s="10">
        <f t="shared" si="0"/>
        <v>64375</v>
      </c>
      <c r="E18" s="23">
        <f>950+2105</f>
        <v>3055</v>
      </c>
      <c r="F18" s="23">
        <f>1045+900</f>
        <v>1945</v>
      </c>
      <c r="G18" s="23">
        <f>620+1300</f>
        <v>1920</v>
      </c>
      <c r="H18" s="23">
        <f>1560+1180</f>
        <v>2740</v>
      </c>
      <c r="I18" s="23">
        <f>1140+2065</f>
        <v>3205</v>
      </c>
      <c r="J18" s="23">
        <v>2125</v>
      </c>
      <c r="K18" s="23">
        <v>1420</v>
      </c>
      <c r="L18" s="23">
        <v>2390</v>
      </c>
      <c r="M18" s="23">
        <f>1140+2045</f>
        <v>3185</v>
      </c>
      <c r="N18" s="23">
        <v>2025</v>
      </c>
      <c r="O18" s="23">
        <v>1670</v>
      </c>
      <c r="P18" s="23">
        <f>1560+1480</f>
        <v>3040</v>
      </c>
      <c r="Q18" s="23">
        <f>2145+635</f>
        <v>2780</v>
      </c>
      <c r="R18" s="25">
        <f>900+1265</f>
        <v>2165</v>
      </c>
      <c r="S18" s="25">
        <f>900+620</f>
        <v>1520</v>
      </c>
      <c r="T18" s="25">
        <f>630+1560</f>
        <v>2190</v>
      </c>
      <c r="U18" s="25">
        <f>300+2145</f>
        <v>2445</v>
      </c>
      <c r="V18" s="25">
        <f>900+340</f>
        <v>1240</v>
      </c>
      <c r="W18" s="25">
        <f>590+800</f>
        <v>1390</v>
      </c>
      <c r="X18" s="25">
        <f>1560+630</f>
        <v>2190</v>
      </c>
      <c r="Y18" s="25">
        <f>2145+1140</f>
        <v>3285</v>
      </c>
      <c r="Z18" s="25">
        <f>750+1140</f>
        <v>1890</v>
      </c>
      <c r="AA18" s="25">
        <v>1290</v>
      </c>
      <c r="AB18" s="25">
        <v>2190</v>
      </c>
      <c r="AC18" s="25">
        <f>1295+1060</f>
        <v>2355</v>
      </c>
      <c r="AD18" s="25">
        <f>820+1850</f>
        <v>2670</v>
      </c>
      <c r="AE18" s="25">
        <f>940+480</f>
        <v>1420</v>
      </c>
      <c r="AF18" s="25">
        <f>830+1560</f>
        <v>2390</v>
      </c>
      <c r="AG18" s="25">
        <f>895+420</f>
        <v>1315</v>
      </c>
      <c r="AH18" s="25">
        <v>930</v>
      </c>
      <c r="AI18" s="25"/>
      <c r="AJ18" s="25">
        <v>1280</v>
      </c>
    </row>
    <row r="19" spans="1:36" ht="16.5" customHeight="1" x14ac:dyDescent="0.3">
      <c r="A19" s="78"/>
      <c r="B19" s="80" t="s">
        <v>2</v>
      </c>
      <c r="C19" s="81"/>
      <c r="D19" s="10">
        <f t="shared" si="0"/>
        <v>0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</row>
    <row r="20" spans="1:36" ht="16.5" customHeight="1" x14ac:dyDescent="0.3">
      <c r="A20" s="78"/>
      <c r="B20" s="69" t="s">
        <v>16</v>
      </c>
      <c r="C20" s="70"/>
      <c r="D20" s="10">
        <f t="shared" si="0"/>
        <v>12992</v>
      </c>
      <c r="E20" s="23">
        <f>164+126</f>
        <v>290</v>
      </c>
      <c r="F20" s="23">
        <v>730</v>
      </c>
      <c r="G20" s="23">
        <f>260+210</f>
        <v>470</v>
      </c>
      <c r="H20" s="23">
        <v>169</v>
      </c>
      <c r="I20" s="23">
        <v>112</v>
      </c>
      <c r="J20" s="23">
        <v>880</v>
      </c>
      <c r="K20" s="23">
        <v>410</v>
      </c>
      <c r="L20" s="23">
        <v>228</v>
      </c>
      <c r="M20" s="23">
        <v>110</v>
      </c>
      <c r="N20" s="23">
        <v>880</v>
      </c>
      <c r="O20" s="23">
        <v>430</v>
      </c>
      <c r="P20" s="23">
        <v>188</v>
      </c>
      <c r="Q20" s="23">
        <v>325</v>
      </c>
      <c r="R20" s="25">
        <f>600+315</f>
        <v>915</v>
      </c>
      <c r="S20" s="25">
        <f>210+170</f>
        <v>380</v>
      </c>
      <c r="T20" s="25">
        <v>208</v>
      </c>
      <c r="U20" s="25">
        <f>164+95</f>
        <v>259</v>
      </c>
      <c r="V20" s="25">
        <f>600+315</f>
        <v>915</v>
      </c>
      <c r="W20" s="25">
        <v>390</v>
      </c>
      <c r="X20" s="25">
        <f>78+160</f>
        <v>238</v>
      </c>
      <c r="Y20" s="25">
        <f>95</f>
        <v>95</v>
      </c>
      <c r="Z20" s="25">
        <v>600</v>
      </c>
      <c r="AA20" s="25">
        <v>410</v>
      </c>
      <c r="AB20" s="25">
        <v>208</v>
      </c>
      <c r="AC20" s="25">
        <f>564+110</f>
        <v>674</v>
      </c>
      <c r="AD20" s="25">
        <f>315+465</f>
        <v>780</v>
      </c>
      <c r="AE20" s="25">
        <v>420</v>
      </c>
      <c r="AF20" s="25">
        <v>198</v>
      </c>
      <c r="AG20" s="25">
        <f>91+164</f>
        <v>255</v>
      </c>
      <c r="AH20" s="25">
        <v>825</v>
      </c>
      <c r="AI20" s="25"/>
      <c r="AJ20" s="25">
        <v>410</v>
      </c>
    </row>
    <row r="21" spans="1:36" ht="16.5" customHeight="1" x14ac:dyDescent="0.3">
      <c r="A21" s="78"/>
      <c r="B21" s="69" t="s">
        <v>10</v>
      </c>
      <c r="C21" s="70"/>
      <c r="D21" s="10">
        <f t="shared" si="0"/>
        <v>10809</v>
      </c>
      <c r="E21" s="23">
        <v>192</v>
      </c>
      <c r="F21" s="23">
        <v>675</v>
      </c>
      <c r="G21" s="23">
        <v>280</v>
      </c>
      <c r="H21" s="23">
        <v>93</v>
      </c>
      <c r="I21" s="23">
        <v>206</v>
      </c>
      <c r="J21" s="23">
        <v>825</v>
      </c>
      <c r="K21" s="23">
        <v>710</v>
      </c>
      <c r="L21" s="23">
        <v>83</v>
      </c>
      <c r="M21" s="23">
        <v>196</v>
      </c>
      <c r="N21" s="23">
        <v>825</v>
      </c>
      <c r="O21" s="23">
        <v>250</v>
      </c>
      <c r="P21" s="23">
        <v>73</v>
      </c>
      <c r="Q21" s="23">
        <v>385</v>
      </c>
      <c r="R21" s="25">
        <f>600+205</f>
        <v>805</v>
      </c>
      <c r="S21" s="25">
        <f>60+180</f>
        <v>240</v>
      </c>
      <c r="T21" s="25">
        <v>63</v>
      </c>
      <c r="U21" s="25">
        <f>70+90</f>
        <v>160</v>
      </c>
      <c r="V21" s="25">
        <v>805</v>
      </c>
      <c r="W21" s="25">
        <v>370</v>
      </c>
      <c r="X21" s="25">
        <f>23+40</f>
        <v>63</v>
      </c>
      <c r="Y21" s="25">
        <v>180</v>
      </c>
      <c r="Z21" s="25">
        <v>710</v>
      </c>
      <c r="AA21" s="25">
        <v>710</v>
      </c>
      <c r="AB21" s="25">
        <v>73</v>
      </c>
      <c r="AC21" s="25">
        <v>236</v>
      </c>
      <c r="AD21" s="25">
        <f>205+115</f>
        <v>320</v>
      </c>
      <c r="AE21" s="25">
        <v>240</v>
      </c>
      <c r="AF21" s="25">
        <v>73</v>
      </c>
      <c r="AG21" s="25">
        <v>163</v>
      </c>
      <c r="AH21" s="25">
        <v>805</v>
      </c>
      <c r="AI21" s="25"/>
      <c r="AJ21" s="25">
        <v>710</v>
      </c>
    </row>
    <row r="22" spans="1:36" ht="16.5" customHeight="1" x14ac:dyDescent="0.3">
      <c r="A22" s="79"/>
      <c r="B22" s="69" t="s">
        <v>36</v>
      </c>
      <c r="C22" s="70"/>
      <c r="D22" s="10">
        <f t="shared" si="0"/>
        <v>0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</row>
    <row r="23" spans="1:36" ht="16.5" customHeight="1" x14ac:dyDescent="0.3">
      <c r="A23" s="71" t="s">
        <v>4</v>
      </c>
      <c r="B23" s="72"/>
      <c r="C23" s="73"/>
      <c r="D23" s="10">
        <f>SUM(E23:AH23)</f>
        <v>203664</v>
      </c>
      <c r="E23" s="27">
        <f t="shared" ref="E23:K23" si="1">SUM(E6:E21)</f>
        <v>9288</v>
      </c>
      <c r="F23" s="27">
        <f t="shared" si="1"/>
        <v>6879</v>
      </c>
      <c r="G23" s="27">
        <f t="shared" si="1"/>
        <v>5500</v>
      </c>
      <c r="H23" s="27">
        <f t="shared" si="1"/>
        <v>6572</v>
      </c>
      <c r="I23" s="27">
        <f t="shared" si="1"/>
        <v>8678</v>
      </c>
      <c r="J23" s="27">
        <f t="shared" si="1"/>
        <v>8079</v>
      </c>
      <c r="K23" s="27">
        <f t="shared" si="1"/>
        <v>5090</v>
      </c>
      <c r="L23" s="27">
        <f>SUM(L6:L21)</f>
        <v>6171</v>
      </c>
      <c r="M23" s="27">
        <f t="shared" ref="M23:AJ23" si="2">SUM(M6:M21)</f>
        <v>8841</v>
      </c>
      <c r="N23" s="27">
        <f t="shared" si="2"/>
        <v>7537</v>
      </c>
      <c r="O23" s="27">
        <f t="shared" si="2"/>
        <v>4790</v>
      </c>
      <c r="P23" s="27">
        <f t="shared" si="2"/>
        <v>6931</v>
      </c>
      <c r="Q23" s="27">
        <f t="shared" si="2"/>
        <v>11644</v>
      </c>
      <c r="R23" s="27">
        <f t="shared" si="2"/>
        <v>7544</v>
      </c>
      <c r="S23" s="27">
        <f t="shared" si="2"/>
        <v>4570</v>
      </c>
      <c r="T23" s="27">
        <f t="shared" si="2"/>
        <v>5611</v>
      </c>
      <c r="U23" s="27">
        <f t="shared" si="2"/>
        <v>8477</v>
      </c>
      <c r="V23" s="27">
        <f t="shared" si="2"/>
        <v>6719</v>
      </c>
      <c r="W23" s="27">
        <f t="shared" si="2"/>
        <v>4600</v>
      </c>
      <c r="X23" s="27">
        <f t="shared" si="2"/>
        <v>6052</v>
      </c>
      <c r="Y23" s="27">
        <f t="shared" si="2"/>
        <v>9245</v>
      </c>
      <c r="Z23" s="27">
        <f t="shared" si="2"/>
        <v>6150</v>
      </c>
      <c r="AA23" s="27">
        <f t="shared" si="2"/>
        <v>4860</v>
      </c>
      <c r="AB23" s="27">
        <f t="shared" si="2"/>
        <v>5941</v>
      </c>
      <c r="AC23" s="27">
        <f t="shared" si="2"/>
        <v>7515</v>
      </c>
      <c r="AD23" s="27">
        <f t="shared" si="2"/>
        <v>9089</v>
      </c>
      <c r="AE23" s="27">
        <f t="shared" si="2"/>
        <v>4590</v>
      </c>
      <c r="AF23" s="27">
        <f t="shared" si="2"/>
        <v>6191</v>
      </c>
      <c r="AG23" s="27">
        <f t="shared" si="2"/>
        <v>5131</v>
      </c>
      <c r="AH23" s="27">
        <f t="shared" si="2"/>
        <v>5379</v>
      </c>
      <c r="AI23" s="27">
        <f t="shared" si="2"/>
        <v>0</v>
      </c>
      <c r="AJ23" s="27">
        <f t="shared" si="2"/>
        <v>4850</v>
      </c>
    </row>
    <row r="24" spans="1:36" ht="16.5" hidden="1" customHeight="1" x14ac:dyDescent="0.3">
      <c r="A24" s="77" t="s">
        <v>24</v>
      </c>
      <c r="B24" s="77" t="s">
        <v>0</v>
      </c>
      <c r="C24" s="15" t="s">
        <v>51</v>
      </c>
      <c r="D24" s="10">
        <f t="shared" ref="D24:D45" si="3">SUM(E24:AF24)</f>
        <v>0</v>
      </c>
      <c r="E24" s="23"/>
      <c r="F24" s="23"/>
      <c r="G24" s="27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</row>
    <row r="25" spans="1:36" ht="16.5" hidden="1" customHeight="1" x14ac:dyDescent="0.3">
      <c r="A25" s="78"/>
      <c r="B25" s="78"/>
      <c r="C25" s="15" t="s">
        <v>26</v>
      </c>
      <c r="D25" s="10">
        <f t="shared" si="3"/>
        <v>0</v>
      </c>
      <c r="E25" s="23"/>
      <c r="F25" s="23"/>
      <c r="G25" s="27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</row>
    <row r="26" spans="1:36" ht="16.5" hidden="1" customHeight="1" x14ac:dyDescent="0.3">
      <c r="A26" s="78"/>
      <c r="B26" s="78"/>
      <c r="C26" s="15" t="s">
        <v>35</v>
      </c>
      <c r="D26" s="10">
        <f t="shared" si="3"/>
        <v>0</v>
      </c>
      <c r="E26" s="23"/>
      <c r="F26" s="23"/>
      <c r="G26" s="27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</row>
    <row r="27" spans="1:36" ht="16.5" hidden="1" customHeight="1" x14ac:dyDescent="0.3">
      <c r="A27" s="78"/>
      <c r="B27" s="78"/>
      <c r="C27" s="15" t="s">
        <v>48</v>
      </c>
      <c r="D27" s="10">
        <f t="shared" si="3"/>
        <v>0</v>
      </c>
      <c r="E27" s="23"/>
      <c r="F27" s="23"/>
      <c r="G27" s="27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</row>
    <row r="28" spans="1:36" ht="16.5" hidden="1" customHeight="1" x14ac:dyDescent="0.3">
      <c r="A28" s="78"/>
      <c r="B28" s="78"/>
      <c r="C28" s="15" t="s">
        <v>41</v>
      </c>
      <c r="D28" s="10">
        <f t="shared" si="3"/>
        <v>0</v>
      </c>
      <c r="E28" s="23"/>
      <c r="F28" s="23"/>
      <c r="G28" s="27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</row>
    <row r="29" spans="1:36" ht="16.5" hidden="1" customHeight="1" x14ac:dyDescent="0.3">
      <c r="A29" s="78"/>
      <c r="B29" s="78"/>
      <c r="C29" s="15" t="s">
        <v>28</v>
      </c>
      <c r="D29" s="10">
        <f t="shared" si="3"/>
        <v>0</v>
      </c>
      <c r="E29" s="23"/>
      <c r="F29" s="23"/>
      <c r="G29" s="27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</row>
    <row r="30" spans="1:36" ht="16.5" hidden="1" customHeight="1" x14ac:dyDescent="0.3">
      <c r="A30" s="78"/>
      <c r="B30" s="78"/>
      <c r="C30" s="15" t="s">
        <v>40</v>
      </c>
      <c r="D30" s="10">
        <f t="shared" si="3"/>
        <v>0</v>
      </c>
      <c r="E30" s="23"/>
      <c r="F30" s="23"/>
      <c r="G30" s="27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</row>
    <row r="31" spans="1:36" ht="16.5" hidden="1" customHeight="1" x14ac:dyDescent="0.3">
      <c r="A31" s="78"/>
      <c r="B31" s="78"/>
      <c r="C31" s="15" t="s">
        <v>38</v>
      </c>
      <c r="D31" s="10">
        <f t="shared" si="3"/>
        <v>0</v>
      </c>
      <c r="E31" s="23"/>
      <c r="F31" s="23"/>
      <c r="G31" s="27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</row>
    <row r="32" spans="1:36" ht="16.5" hidden="1" customHeight="1" x14ac:dyDescent="0.3">
      <c r="A32" s="78"/>
      <c r="B32" s="78"/>
      <c r="C32" s="15" t="s">
        <v>12</v>
      </c>
      <c r="D32" s="10">
        <f t="shared" si="3"/>
        <v>0</v>
      </c>
      <c r="E32" s="23"/>
      <c r="F32" s="23"/>
      <c r="G32" s="27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</row>
    <row r="33" spans="1:36" ht="16.5" hidden="1" customHeight="1" x14ac:dyDescent="0.3">
      <c r="A33" s="78"/>
      <c r="B33" s="78"/>
      <c r="C33" s="15" t="s">
        <v>44</v>
      </c>
      <c r="D33" s="10">
        <f t="shared" si="3"/>
        <v>0</v>
      </c>
      <c r="E33" s="23"/>
      <c r="F33" s="23"/>
      <c r="G33" s="27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</row>
    <row r="34" spans="1:36" ht="16.5" hidden="1" customHeight="1" x14ac:dyDescent="0.3">
      <c r="A34" s="78"/>
      <c r="B34" s="79"/>
      <c r="C34" s="15" t="s">
        <v>21</v>
      </c>
      <c r="D34" s="10">
        <f t="shared" si="3"/>
        <v>0</v>
      </c>
      <c r="E34" s="23"/>
      <c r="F34" s="23"/>
      <c r="G34" s="27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</row>
    <row r="35" spans="1:36" ht="16.5" hidden="1" customHeight="1" x14ac:dyDescent="0.3">
      <c r="A35" s="78"/>
      <c r="B35" s="77" t="s">
        <v>13</v>
      </c>
      <c r="C35" s="15" t="s">
        <v>50</v>
      </c>
      <c r="D35" s="10">
        <f t="shared" si="3"/>
        <v>0</v>
      </c>
      <c r="E35" s="23"/>
      <c r="F35" s="23"/>
      <c r="G35" s="27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</row>
    <row r="36" spans="1:36" ht="16.5" hidden="1" customHeight="1" x14ac:dyDescent="0.3">
      <c r="A36" s="78"/>
      <c r="B36" s="78"/>
      <c r="C36" s="15" t="s">
        <v>37</v>
      </c>
      <c r="D36" s="10">
        <f t="shared" si="3"/>
        <v>0</v>
      </c>
      <c r="E36" s="23"/>
      <c r="F36" s="23"/>
      <c r="G36" s="27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</row>
    <row r="37" spans="1:36" ht="16.5" hidden="1" customHeight="1" x14ac:dyDescent="0.3">
      <c r="A37" s="78"/>
      <c r="B37" s="78"/>
      <c r="C37" s="15" t="s">
        <v>17</v>
      </c>
      <c r="D37" s="10">
        <f t="shared" si="3"/>
        <v>0</v>
      </c>
      <c r="E37" s="23"/>
      <c r="F37" s="23"/>
      <c r="G37" s="27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</row>
    <row r="38" spans="1:36" ht="16.5" hidden="1" customHeight="1" x14ac:dyDescent="0.3">
      <c r="A38" s="78"/>
      <c r="B38" s="78"/>
      <c r="C38" s="15" t="s">
        <v>34</v>
      </c>
      <c r="D38" s="10">
        <f t="shared" si="3"/>
        <v>0</v>
      </c>
      <c r="E38" s="23"/>
      <c r="F38" s="23"/>
      <c r="G38" s="27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</row>
    <row r="39" spans="1:36" ht="16.5" hidden="1" customHeight="1" x14ac:dyDescent="0.3">
      <c r="A39" s="78"/>
      <c r="B39" s="79"/>
      <c r="C39" s="15" t="s">
        <v>11</v>
      </c>
      <c r="D39" s="10">
        <f t="shared" si="3"/>
        <v>0</v>
      </c>
      <c r="E39" s="23"/>
      <c r="F39" s="23"/>
      <c r="G39" s="27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</row>
    <row r="40" spans="1:36" ht="16.5" hidden="1" customHeight="1" x14ac:dyDescent="0.3">
      <c r="A40" s="78"/>
      <c r="B40" s="77" t="s">
        <v>9</v>
      </c>
      <c r="C40" s="15" t="s">
        <v>42</v>
      </c>
      <c r="D40" s="10">
        <f t="shared" si="3"/>
        <v>0</v>
      </c>
      <c r="E40" s="23"/>
      <c r="F40" s="23"/>
      <c r="G40" s="27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</row>
    <row r="41" spans="1:36" ht="16.5" hidden="1" customHeight="1" x14ac:dyDescent="0.3">
      <c r="A41" s="78"/>
      <c r="B41" s="78"/>
      <c r="C41" s="15" t="s">
        <v>49</v>
      </c>
      <c r="D41" s="10">
        <f t="shared" si="3"/>
        <v>0</v>
      </c>
      <c r="E41" s="23"/>
      <c r="F41" s="23"/>
      <c r="G41" s="27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</row>
    <row r="42" spans="1:36" ht="16.5" hidden="1" customHeight="1" x14ac:dyDescent="0.3">
      <c r="A42" s="78"/>
      <c r="B42" s="78"/>
      <c r="C42" s="15" t="s">
        <v>46</v>
      </c>
      <c r="D42" s="10">
        <f t="shared" si="3"/>
        <v>0</v>
      </c>
      <c r="E42" s="23"/>
      <c r="F42" s="23"/>
      <c r="G42" s="27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</row>
    <row r="43" spans="1:36" ht="16.5" hidden="1" customHeight="1" x14ac:dyDescent="0.3">
      <c r="A43" s="78"/>
      <c r="B43" s="78"/>
      <c r="C43" s="15" t="s">
        <v>52</v>
      </c>
      <c r="D43" s="10">
        <f t="shared" si="3"/>
        <v>0</v>
      </c>
      <c r="E43" s="23"/>
      <c r="F43" s="23"/>
      <c r="G43" s="27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</row>
    <row r="44" spans="1:36" ht="16.5" hidden="1" customHeight="1" x14ac:dyDescent="0.3">
      <c r="A44" s="78"/>
      <c r="B44" s="78"/>
      <c r="C44" s="15" t="s">
        <v>43</v>
      </c>
      <c r="D44" s="10">
        <f t="shared" si="3"/>
        <v>0</v>
      </c>
      <c r="E44" s="23"/>
      <c r="F44" s="23"/>
      <c r="G44" s="27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</row>
    <row r="45" spans="1:36" ht="16.5" hidden="1" customHeight="1" x14ac:dyDescent="0.3">
      <c r="A45" s="78"/>
      <c r="B45" s="79"/>
      <c r="C45" s="15" t="s">
        <v>30</v>
      </c>
      <c r="D45" s="10">
        <f t="shared" si="3"/>
        <v>0</v>
      </c>
      <c r="E45" s="23"/>
      <c r="F45" s="23"/>
      <c r="G45" s="27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</row>
    <row r="46" spans="1:36" x14ac:dyDescent="0.3">
      <c r="A46" s="78"/>
      <c r="B46" s="77" t="s">
        <v>7</v>
      </c>
      <c r="C46" s="14" t="s">
        <v>33</v>
      </c>
      <c r="D46" s="10">
        <f>SUM(E46:AH46)</f>
        <v>0</v>
      </c>
      <c r="E46" s="23"/>
      <c r="F46" s="23"/>
      <c r="G46" s="28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</row>
    <row r="47" spans="1:36" x14ac:dyDescent="0.3">
      <c r="A47" s="79"/>
      <c r="B47" s="79"/>
      <c r="C47" s="14" t="s">
        <v>15</v>
      </c>
      <c r="D47" s="10">
        <f>SUM(E47:AH47)</f>
        <v>41768</v>
      </c>
      <c r="E47" s="23">
        <v>1720</v>
      </c>
      <c r="F47" s="23">
        <v>1076</v>
      </c>
      <c r="G47" s="23">
        <v>950</v>
      </c>
      <c r="H47" s="23">
        <v>1570</v>
      </c>
      <c r="I47" s="23">
        <v>1640</v>
      </c>
      <c r="J47" s="23">
        <v>1326</v>
      </c>
      <c r="K47" s="23">
        <v>760</v>
      </c>
      <c r="L47" s="23">
        <v>1650</v>
      </c>
      <c r="M47" s="23">
        <v>1620</v>
      </c>
      <c r="N47" s="23">
        <v>896</v>
      </c>
      <c r="O47" s="23">
        <v>1100</v>
      </c>
      <c r="P47" s="23">
        <v>1820</v>
      </c>
      <c r="Q47" s="23">
        <v>2316</v>
      </c>
      <c r="R47" s="25">
        <f>250+676</f>
        <v>926</v>
      </c>
      <c r="S47" s="25">
        <f>780+150</f>
        <v>930</v>
      </c>
      <c r="T47" s="25">
        <f>1170+380</f>
        <v>1550</v>
      </c>
      <c r="U47" s="25">
        <f>1010+710</f>
        <v>1720</v>
      </c>
      <c r="V47" s="25">
        <f>896+250</f>
        <v>1146</v>
      </c>
      <c r="W47" s="25">
        <v>680</v>
      </c>
      <c r="X47" s="25">
        <f>1170+580</f>
        <v>1750</v>
      </c>
      <c r="Y47" s="25">
        <v>1690</v>
      </c>
      <c r="Z47" s="25">
        <v>1230</v>
      </c>
      <c r="AA47" s="25">
        <v>710</v>
      </c>
      <c r="AB47" s="25">
        <v>1730</v>
      </c>
      <c r="AC47" s="25">
        <v>1650</v>
      </c>
      <c r="AD47" s="25">
        <f>1230+896</f>
        <v>2126</v>
      </c>
      <c r="AE47" s="25">
        <v>910</v>
      </c>
      <c r="AF47" s="25">
        <v>1800</v>
      </c>
      <c r="AG47" s="25">
        <f>640+990</f>
        <v>1630</v>
      </c>
      <c r="AH47" s="25">
        <v>1146</v>
      </c>
      <c r="AI47" s="25"/>
      <c r="AJ47" s="25">
        <v>710</v>
      </c>
    </row>
    <row r="48" spans="1:36" ht="16.5" customHeight="1" x14ac:dyDescent="0.3">
      <c r="A48" s="71" t="s">
        <v>4</v>
      </c>
      <c r="B48" s="72"/>
      <c r="C48" s="73"/>
      <c r="D48" s="10">
        <f>SUM(E48:AH48)</f>
        <v>41768</v>
      </c>
      <c r="E48" s="29">
        <f>E47</f>
        <v>1720</v>
      </c>
      <c r="F48" s="29">
        <f t="shared" ref="F48:AJ48" si="4">F47</f>
        <v>1076</v>
      </c>
      <c r="G48" s="29">
        <f t="shared" si="4"/>
        <v>950</v>
      </c>
      <c r="H48" s="29">
        <f t="shared" si="4"/>
        <v>1570</v>
      </c>
      <c r="I48" s="29">
        <f t="shared" si="4"/>
        <v>1640</v>
      </c>
      <c r="J48" s="29">
        <f t="shared" si="4"/>
        <v>1326</v>
      </c>
      <c r="K48" s="29">
        <f t="shared" si="4"/>
        <v>760</v>
      </c>
      <c r="L48" s="29">
        <f t="shared" si="4"/>
        <v>1650</v>
      </c>
      <c r="M48" s="29">
        <f t="shared" si="4"/>
        <v>1620</v>
      </c>
      <c r="N48" s="29">
        <f t="shared" si="4"/>
        <v>896</v>
      </c>
      <c r="O48" s="29">
        <f t="shared" si="4"/>
        <v>1100</v>
      </c>
      <c r="P48" s="29">
        <f t="shared" si="4"/>
        <v>1820</v>
      </c>
      <c r="Q48" s="29">
        <f t="shared" si="4"/>
        <v>2316</v>
      </c>
      <c r="R48" s="29">
        <f t="shared" si="4"/>
        <v>926</v>
      </c>
      <c r="S48" s="29">
        <f t="shared" si="4"/>
        <v>930</v>
      </c>
      <c r="T48" s="29">
        <f t="shared" si="4"/>
        <v>1550</v>
      </c>
      <c r="U48" s="29">
        <f t="shared" si="4"/>
        <v>1720</v>
      </c>
      <c r="V48" s="29">
        <f t="shared" si="4"/>
        <v>1146</v>
      </c>
      <c r="W48" s="29">
        <f t="shared" si="4"/>
        <v>680</v>
      </c>
      <c r="X48" s="29">
        <f t="shared" si="4"/>
        <v>1750</v>
      </c>
      <c r="Y48" s="29">
        <f t="shared" si="4"/>
        <v>1690</v>
      </c>
      <c r="Z48" s="29">
        <f t="shared" si="4"/>
        <v>1230</v>
      </c>
      <c r="AA48" s="29">
        <f t="shared" si="4"/>
        <v>710</v>
      </c>
      <c r="AB48" s="29">
        <f t="shared" si="4"/>
        <v>1730</v>
      </c>
      <c r="AC48" s="29">
        <f t="shared" si="4"/>
        <v>1650</v>
      </c>
      <c r="AD48" s="29">
        <f t="shared" si="4"/>
        <v>2126</v>
      </c>
      <c r="AE48" s="29">
        <f t="shared" si="4"/>
        <v>910</v>
      </c>
      <c r="AF48" s="29">
        <f t="shared" si="4"/>
        <v>1800</v>
      </c>
      <c r="AG48" s="29">
        <f t="shared" si="4"/>
        <v>1630</v>
      </c>
      <c r="AH48" s="29">
        <f t="shared" si="4"/>
        <v>1146</v>
      </c>
      <c r="AI48" s="29">
        <f t="shared" si="4"/>
        <v>0</v>
      </c>
      <c r="AJ48" s="29">
        <f t="shared" si="4"/>
        <v>710</v>
      </c>
    </row>
    <row r="49" spans="1:36" ht="16.5" customHeight="1" x14ac:dyDescent="0.3">
      <c r="A49" s="74" t="s">
        <v>5</v>
      </c>
      <c r="B49" s="75"/>
      <c r="C49" s="76"/>
      <c r="D49" s="11">
        <f>SUM(E49:AH49)</f>
        <v>245432</v>
      </c>
      <c r="E49" s="30">
        <f>E23+E48</f>
        <v>11008</v>
      </c>
      <c r="F49" s="30">
        <f t="shared" ref="F49:AJ49" si="5">F23+F48</f>
        <v>7955</v>
      </c>
      <c r="G49" s="30">
        <f t="shared" si="5"/>
        <v>6450</v>
      </c>
      <c r="H49" s="30">
        <f t="shared" si="5"/>
        <v>8142</v>
      </c>
      <c r="I49" s="30">
        <f t="shared" si="5"/>
        <v>10318</v>
      </c>
      <c r="J49" s="30">
        <f t="shared" si="5"/>
        <v>9405</v>
      </c>
      <c r="K49" s="30">
        <f t="shared" si="5"/>
        <v>5850</v>
      </c>
      <c r="L49" s="30">
        <f t="shared" si="5"/>
        <v>7821</v>
      </c>
      <c r="M49" s="30">
        <f t="shared" si="5"/>
        <v>10461</v>
      </c>
      <c r="N49" s="30">
        <f t="shared" si="5"/>
        <v>8433</v>
      </c>
      <c r="O49" s="30">
        <f t="shared" si="5"/>
        <v>5890</v>
      </c>
      <c r="P49" s="30">
        <f t="shared" si="5"/>
        <v>8751</v>
      </c>
      <c r="Q49" s="30">
        <f t="shared" si="5"/>
        <v>13960</v>
      </c>
      <c r="R49" s="30">
        <f t="shared" si="5"/>
        <v>8470</v>
      </c>
      <c r="S49" s="30">
        <f t="shared" si="5"/>
        <v>5500</v>
      </c>
      <c r="T49" s="30">
        <f t="shared" si="5"/>
        <v>7161</v>
      </c>
      <c r="U49" s="30">
        <f t="shared" si="5"/>
        <v>10197</v>
      </c>
      <c r="V49" s="30">
        <f t="shared" si="5"/>
        <v>7865</v>
      </c>
      <c r="W49" s="30">
        <f t="shared" si="5"/>
        <v>5280</v>
      </c>
      <c r="X49" s="30">
        <f t="shared" si="5"/>
        <v>7802</v>
      </c>
      <c r="Y49" s="30">
        <f t="shared" si="5"/>
        <v>10935</v>
      </c>
      <c r="Z49" s="30">
        <f t="shared" si="5"/>
        <v>7380</v>
      </c>
      <c r="AA49" s="30">
        <f t="shared" si="5"/>
        <v>5570</v>
      </c>
      <c r="AB49" s="30">
        <f t="shared" si="5"/>
        <v>7671</v>
      </c>
      <c r="AC49" s="30">
        <f t="shared" si="5"/>
        <v>9165</v>
      </c>
      <c r="AD49" s="30">
        <f t="shared" si="5"/>
        <v>11215</v>
      </c>
      <c r="AE49" s="30">
        <f t="shared" si="5"/>
        <v>5500</v>
      </c>
      <c r="AF49" s="30">
        <f t="shared" si="5"/>
        <v>7991</v>
      </c>
      <c r="AG49" s="30">
        <f t="shared" si="5"/>
        <v>6761</v>
      </c>
      <c r="AH49" s="30">
        <f t="shared" si="5"/>
        <v>6525</v>
      </c>
      <c r="AI49" s="30">
        <f t="shared" si="5"/>
        <v>0</v>
      </c>
      <c r="AJ49" s="30">
        <f t="shared" si="5"/>
        <v>5560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H56" sqref="H56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16384" width="8.75" style="31"/>
  </cols>
  <sheetData>
    <row r="1" spans="1:33" ht="34.5" customHeight="1" x14ac:dyDescent="0.3">
      <c r="B1" s="32"/>
      <c r="C1" s="32"/>
      <c r="D1" s="86" t="s">
        <v>116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3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3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</row>
    <row r="4" spans="1:33" ht="16.5" customHeight="1" x14ac:dyDescent="0.3">
      <c r="A4" s="88" t="s">
        <v>19</v>
      </c>
      <c r="B4" s="89"/>
      <c r="C4" s="90"/>
      <c r="D4" s="92"/>
      <c r="E4" s="36" t="s">
        <v>59</v>
      </c>
      <c r="F4" s="36" t="s">
        <v>60</v>
      </c>
      <c r="G4" s="36" t="s">
        <v>61</v>
      </c>
      <c r="H4" s="36" t="s">
        <v>55</v>
      </c>
      <c r="I4" s="36" t="s">
        <v>56</v>
      </c>
      <c r="J4" s="36" t="s">
        <v>57</v>
      </c>
      <c r="K4" s="36" t="s">
        <v>58</v>
      </c>
      <c r="L4" s="36" t="s">
        <v>59</v>
      </c>
      <c r="M4" s="36" t="s">
        <v>60</v>
      </c>
      <c r="N4" s="36" t="s">
        <v>61</v>
      </c>
      <c r="O4" s="36" t="s">
        <v>55</v>
      </c>
      <c r="P4" s="36" t="s">
        <v>56</v>
      </c>
      <c r="Q4" s="36" t="s">
        <v>57</v>
      </c>
      <c r="R4" s="36" t="s">
        <v>58</v>
      </c>
      <c r="S4" s="36" t="s">
        <v>59</v>
      </c>
      <c r="T4" s="36" t="s">
        <v>60</v>
      </c>
      <c r="U4" s="36" t="s">
        <v>61</v>
      </c>
      <c r="V4" s="36" t="s">
        <v>55</v>
      </c>
      <c r="W4" s="36" t="s">
        <v>56</v>
      </c>
      <c r="X4" s="36" t="s">
        <v>57</v>
      </c>
      <c r="Y4" s="36" t="s">
        <v>58</v>
      </c>
      <c r="Z4" s="36" t="s">
        <v>59</v>
      </c>
      <c r="AA4" s="36" t="s">
        <v>60</v>
      </c>
      <c r="AB4" s="36" t="s">
        <v>61</v>
      </c>
      <c r="AC4" s="36" t="s">
        <v>55</v>
      </c>
      <c r="AD4" s="36" t="s">
        <v>56</v>
      </c>
      <c r="AE4" s="36" t="s">
        <v>57</v>
      </c>
      <c r="AF4" s="36" t="s">
        <v>58</v>
      </c>
      <c r="AG4" s="36" t="s">
        <v>59</v>
      </c>
    </row>
    <row r="5" spans="1:33" ht="26.25" customHeight="1" x14ac:dyDescent="0.3">
      <c r="A5" s="93" t="s">
        <v>32</v>
      </c>
      <c r="B5" s="96" t="s">
        <v>31</v>
      </c>
      <c r="C5" s="97"/>
      <c r="D5" s="37"/>
      <c r="E5" s="38" t="s">
        <v>95</v>
      </c>
      <c r="F5" s="38" t="s">
        <v>65</v>
      </c>
      <c r="G5" s="38" t="s">
        <v>65</v>
      </c>
      <c r="H5" s="38" t="s">
        <v>73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68</v>
      </c>
      <c r="Q5" s="38" t="s">
        <v>95</v>
      </c>
      <c r="R5" s="38" t="s">
        <v>65</v>
      </c>
      <c r="S5" s="38" t="s">
        <v>73</v>
      </c>
      <c r="T5" s="38" t="s">
        <v>65</v>
      </c>
      <c r="U5" s="38" t="s">
        <v>65</v>
      </c>
      <c r="V5" s="38" t="s">
        <v>65</v>
      </c>
      <c r="W5" s="38" t="s">
        <v>65</v>
      </c>
      <c r="X5" s="38" t="s">
        <v>65</v>
      </c>
      <c r="Y5" s="38" t="s">
        <v>65</v>
      </c>
      <c r="Z5" s="38" t="s">
        <v>65</v>
      </c>
      <c r="AA5" s="38" t="s">
        <v>65</v>
      </c>
      <c r="AB5" s="38" t="s">
        <v>95</v>
      </c>
      <c r="AC5" s="38" t="s">
        <v>99</v>
      </c>
      <c r="AD5" s="38" t="s">
        <v>65</v>
      </c>
      <c r="AE5" s="38" t="s">
        <v>65</v>
      </c>
      <c r="AF5" s="38" t="s">
        <v>98</v>
      </c>
      <c r="AG5" s="38" t="s">
        <v>65</v>
      </c>
    </row>
    <row r="6" spans="1:33" ht="16.5" customHeight="1" x14ac:dyDescent="0.3">
      <c r="A6" s="94"/>
      <c r="B6" s="98" t="s">
        <v>22</v>
      </c>
      <c r="C6" s="99"/>
      <c r="D6" s="39">
        <f t="shared" ref="D6:D22" si="0">SUM(E6:AG6)</f>
        <v>7410</v>
      </c>
      <c r="E6" s="41">
        <v>330</v>
      </c>
      <c r="F6" s="41">
        <v>0</v>
      </c>
      <c r="G6" s="41">
        <v>0</v>
      </c>
      <c r="H6" s="41">
        <v>0</v>
      </c>
      <c r="I6" s="41">
        <v>360</v>
      </c>
      <c r="J6" s="41">
        <v>0</v>
      </c>
      <c r="K6" s="41">
        <v>0</v>
      </c>
      <c r="L6" s="41">
        <v>0</v>
      </c>
      <c r="M6" s="41">
        <v>380</v>
      </c>
      <c r="N6" s="41">
        <v>0</v>
      </c>
      <c r="O6" s="42">
        <v>0</v>
      </c>
      <c r="P6" s="41">
        <v>0</v>
      </c>
      <c r="Q6" s="41">
        <v>0</v>
      </c>
      <c r="R6" s="43">
        <v>0</v>
      </c>
      <c r="S6" s="43">
        <v>0</v>
      </c>
      <c r="T6" s="43">
        <f>360</f>
        <v>360</v>
      </c>
      <c r="U6" s="43">
        <v>0</v>
      </c>
      <c r="V6" s="43">
        <v>0</v>
      </c>
      <c r="W6" s="43"/>
      <c r="X6" s="43">
        <v>380</v>
      </c>
      <c r="Y6" s="43"/>
      <c r="Z6" s="43">
        <v>0</v>
      </c>
      <c r="AA6" s="43">
        <v>0</v>
      </c>
      <c r="AB6" s="43">
        <v>0</v>
      </c>
      <c r="AC6" s="43">
        <v>340</v>
      </c>
      <c r="AD6" s="43">
        <v>4860</v>
      </c>
      <c r="AE6" s="43">
        <v>0</v>
      </c>
      <c r="AF6" s="43">
        <v>0</v>
      </c>
      <c r="AG6" s="43">
        <v>400</v>
      </c>
    </row>
    <row r="7" spans="1:33" ht="16.5" customHeight="1" x14ac:dyDescent="0.3">
      <c r="A7" s="94"/>
      <c r="B7" s="98" t="s">
        <v>23</v>
      </c>
      <c r="C7" s="99"/>
      <c r="D7" s="39">
        <f t="shared" si="0"/>
        <v>57169</v>
      </c>
      <c r="E7" s="41">
        <v>2060</v>
      </c>
      <c r="F7" s="41">
        <v>2875</v>
      </c>
      <c r="G7" s="41">
        <v>2642</v>
      </c>
      <c r="H7" s="41">
        <v>1985</v>
      </c>
      <c r="I7" s="41">
        <v>1060</v>
      </c>
      <c r="J7" s="41">
        <v>1575</v>
      </c>
      <c r="K7" s="41">
        <v>2912</v>
      </c>
      <c r="L7" s="41">
        <v>2005</v>
      </c>
      <c r="M7" s="41">
        <v>2160</v>
      </c>
      <c r="N7" s="41">
        <v>1775</v>
      </c>
      <c r="O7" s="41">
        <v>2772</v>
      </c>
      <c r="P7" s="41">
        <v>219</v>
      </c>
      <c r="Q7" s="41">
        <v>1060</v>
      </c>
      <c r="R7" s="43">
        <v>2275</v>
      </c>
      <c r="S7" s="43">
        <v>3000</v>
      </c>
      <c r="T7" s="43">
        <v>1210</v>
      </c>
      <c r="U7" s="43">
        <v>2255</v>
      </c>
      <c r="V7" s="43">
        <f>1762+1400</f>
        <v>3162</v>
      </c>
      <c r="W7" s="43">
        <v>1975</v>
      </c>
      <c r="X7" s="43">
        <v>1210</v>
      </c>
      <c r="Y7" s="43">
        <v>1755</v>
      </c>
      <c r="Z7" s="43">
        <f>1562+1150</f>
        <v>2712</v>
      </c>
      <c r="AA7" s="43">
        <v>2030</v>
      </c>
      <c r="AB7" s="43">
        <v>1950</v>
      </c>
      <c r="AC7" s="43">
        <v>850</v>
      </c>
      <c r="AD7" s="43"/>
      <c r="AE7" s="43">
        <f>2280+1350</f>
        <v>3630</v>
      </c>
      <c r="AF7" s="43">
        <v>1625</v>
      </c>
      <c r="AG7" s="43">
        <v>2430</v>
      </c>
    </row>
    <row r="8" spans="1:33" ht="16.5" customHeight="1" x14ac:dyDescent="0.3">
      <c r="A8" s="94"/>
      <c r="B8" s="98" t="s">
        <v>25</v>
      </c>
      <c r="C8" s="99"/>
      <c r="D8" s="39">
        <f t="shared" si="0"/>
        <v>30326</v>
      </c>
      <c r="E8" s="41">
        <v>1325</v>
      </c>
      <c r="F8" s="41">
        <v>1219</v>
      </c>
      <c r="G8" s="41">
        <v>0</v>
      </c>
      <c r="H8" s="41">
        <v>890</v>
      </c>
      <c r="I8" s="41">
        <v>1395</v>
      </c>
      <c r="J8" s="41">
        <v>1219</v>
      </c>
      <c r="K8" s="41">
        <v>0</v>
      </c>
      <c r="L8" s="41">
        <v>1380</v>
      </c>
      <c r="M8" s="41">
        <v>1370</v>
      </c>
      <c r="N8" s="41">
        <v>1219</v>
      </c>
      <c r="O8" s="41">
        <v>0</v>
      </c>
      <c r="P8" s="41">
        <v>1130</v>
      </c>
      <c r="Q8" s="41">
        <v>318</v>
      </c>
      <c r="R8" s="43">
        <v>1219</v>
      </c>
      <c r="S8" s="43">
        <v>0</v>
      </c>
      <c r="T8" s="43">
        <v>1770</v>
      </c>
      <c r="U8" s="43">
        <v>1219</v>
      </c>
      <c r="V8" s="43">
        <f>0</f>
        <v>0</v>
      </c>
      <c r="W8" s="43">
        <v>1750</v>
      </c>
      <c r="X8" s="43">
        <v>1755</v>
      </c>
      <c r="Y8" s="43">
        <v>1219</v>
      </c>
      <c r="Z8" s="43">
        <f>0</f>
        <v>0</v>
      </c>
      <c r="AA8" s="43">
        <v>1730</v>
      </c>
      <c r="AB8" s="43">
        <v>1280</v>
      </c>
      <c r="AC8" s="43">
        <v>1765</v>
      </c>
      <c r="AD8" s="43">
        <v>1299</v>
      </c>
      <c r="AE8" s="43">
        <f>0</f>
        <v>0</v>
      </c>
      <c r="AF8" s="43">
        <v>1390</v>
      </c>
      <c r="AG8" s="43">
        <v>2465</v>
      </c>
    </row>
    <row r="9" spans="1:33" ht="16.5" customHeight="1" x14ac:dyDescent="0.3">
      <c r="A9" s="94"/>
      <c r="B9" s="98" t="s">
        <v>29</v>
      </c>
      <c r="C9" s="99"/>
      <c r="D9" s="39">
        <f t="shared" si="0"/>
        <v>32508</v>
      </c>
      <c r="E9" s="41">
        <v>1460</v>
      </c>
      <c r="F9" s="41">
        <v>844</v>
      </c>
      <c r="G9" s="41">
        <v>1030</v>
      </c>
      <c r="H9" s="41">
        <v>1165</v>
      </c>
      <c r="I9" s="41">
        <v>1355</v>
      </c>
      <c r="J9" s="41">
        <v>774</v>
      </c>
      <c r="K9" s="41">
        <v>1090</v>
      </c>
      <c r="L9" s="41">
        <v>1310</v>
      </c>
      <c r="M9" s="41">
        <v>2015</v>
      </c>
      <c r="N9" s="41">
        <v>844</v>
      </c>
      <c r="O9" s="68">
        <v>1320</v>
      </c>
      <c r="P9" s="41">
        <v>330</v>
      </c>
      <c r="Q9" s="41">
        <v>852</v>
      </c>
      <c r="R9" s="43">
        <v>844</v>
      </c>
      <c r="S9" s="43">
        <v>1420</v>
      </c>
      <c r="T9" s="43">
        <f>533+205</f>
        <v>738</v>
      </c>
      <c r="U9" s="43">
        <f>494+350</f>
        <v>844</v>
      </c>
      <c r="V9" s="43">
        <f>520+700</f>
        <v>1220</v>
      </c>
      <c r="W9" s="43">
        <f>680+600</f>
        <v>1280</v>
      </c>
      <c r="X9" s="43">
        <f>565+205</f>
        <v>770</v>
      </c>
      <c r="Y9" s="43">
        <f>494+350</f>
        <v>844</v>
      </c>
      <c r="Z9" s="43">
        <f>520+650</f>
        <v>1170</v>
      </c>
      <c r="AA9" s="43">
        <f>710+635</f>
        <v>1345</v>
      </c>
      <c r="AB9" s="43">
        <f>480+905</f>
        <v>1385</v>
      </c>
      <c r="AC9" s="43">
        <f>905+670</f>
        <v>1575</v>
      </c>
      <c r="AD9" s="43">
        <f>584+350</f>
        <v>934</v>
      </c>
      <c r="AE9" s="43">
        <f>610+900</f>
        <v>1510</v>
      </c>
      <c r="AF9" s="43">
        <f>380+830</f>
        <v>1210</v>
      </c>
      <c r="AG9" s="43">
        <f>-920+1950</f>
        <v>1030</v>
      </c>
    </row>
    <row r="10" spans="1:33" ht="16.5" customHeight="1" x14ac:dyDescent="0.3">
      <c r="A10" s="94"/>
      <c r="B10" s="96" t="s">
        <v>18</v>
      </c>
      <c r="C10" s="97"/>
      <c r="D10" s="39">
        <f t="shared" si="0"/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</row>
    <row r="11" spans="1:33" ht="16.5" customHeight="1" x14ac:dyDescent="0.3">
      <c r="A11" s="94"/>
      <c r="B11" s="96" t="s">
        <v>39</v>
      </c>
      <c r="C11" s="97"/>
      <c r="D11" s="39">
        <f t="shared" si="0"/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</row>
    <row r="12" spans="1:33" ht="16.5" customHeight="1" x14ac:dyDescent="0.3">
      <c r="A12" s="94"/>
      <c r="B12" s="98" t="s">
        <v>45</v>
      </c>
      <c r="C12" s="99"/>
      <c r="D12" s="39">
        <f t="shared" si="0"/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</row>
    <row r="13" spans="1:33" ht="16.5" customHeight="1" x14ac:dyDescent="0.3">
      <c r="A13" s="94"/>
      <c r="B13" s="96" t="s">
        <v>47</v>
      </c>
      <c r="C13" s="97"/>
      <c r="D13" s="39">
        <f t="shared" si="0"/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</row>
    <row r="14" spans="1:33" ht="16.5" customHeight="1" x14ac:dyDescent="0.3">
      <c r="A14" s="94"/>
      <c r="B14" s="96" t="s">
        <v>3</v>
      </c>
      <c r="C14" s="97"/>
      <c r="D14" s="39">
        <f t="shared" si="0"/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</row>
    <row r="15" spans="1:33" ht="16.5" customHeight="1" x14ac:dyDescent="0.3">
      <c r="A15" s="94"/>
      <c r="B15" s="96" t="s">
        <v>8</v>
      </c>
      <c r="C15" s="97"/>
      <c r="D15" s="39">
        <f t="shared" si="0"/>
        <v>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</row>
    <row r="16" spans="1:33" ht="16.5" customHeight="1" x14ac:dyDescent="0.3">
      <c r="A16" s="94"/>
      <c r="B16" s="96" t="s">
        <v>14</v>
      </c>
      <c r="C16" s="97"/>
      <c r="D16" s="39">
        <f t="shared" si="0"/>
        <v>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</row>
    <row r="17" spans="1:33" ht="16.5" customHeight="1" x14ac:dyDescent="0.3">
      <c r="A17" s="94"/>
      <c r="B17" s="96" t="s">
        <v>27</v>
      </c>
      <c r="C17" s="97"/>
      <c r="D17" s="39">
        <f t="shared" si="0"/>
        <v>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</row>
    <row r="18" spans="1:33" ht="16.5" customHeight="1" x14ac:dyDescent="0.3">
      <c r="A18" s="94"/>
      <c r="B18" s="98" t="s">
        <v>1</v>
      </c>
      <c r="C18" s="99"/>
      <c r="D18" s="39">
        <f t="shared" si="0"/>
        <v>50316</v>
      </c>
      <c r="E18" s="41">
        <v>1470</v>
      </c>
      <c r="F18" s="41">
        <v>1753</v>
      </c>
      <c r="G18" s="41">
        <v>1388</v>
      </c>
      <c r="H18" s="41">
        <v>1635</v>
      </c>
      <c r="I18" s="41">
        <v>1085</v>
      </c>
      <c r="J18" s="41">
        <v>1453</v>
      </c>
      <c r="K18" s="41">
        <v>1468</v>
      </c>
      <c r="L18" s="41">
        <v>2175</v>
      </c>
      <c r="M18" s="41">
        <v>2675</v>
      </c>
      <c r="N18" s="41">
        <v>1703</v>
      </c>
      <c r="O18" s="41">
        <v>1508</v>
      </c>
      <c r="P18" s="41">
        <v>663</v>
      </c>
      <c r="Q18" s="41">
        <v>815</v>
      </c>
      <c r="R18" s="43">
        <v>2083</v>
      </c>
      <c r="S18" s="43">
        <v>1840</v>
      </c>
      <c r="T18" s="43">
        <f>930+990</f>
        <v>1920</v>
      </c>
      <c r="U18" s="43">
        <f>1180+523</f>
        <v>1703</v>
      </c>
      <c r="V18" s="43">
        <f>618+1020</f>
        <v>1638</v>
      </c>
      <c r="W18" s="43">
        <f>975+940</f>
        <v>1915</v>
      </c>
      <c r="X18" s="43">
        <f>990+990</f>
        <v>1980</v>
      </c>
      <c r="Y18" s="43">
        <f>523+740</f>
        <v>1263</v>
      </c>
      <c r="Z18" s="43">
        <f>488+920</f>
        <v>1408</v>
      </c>
      <c r="AA18" s="43">
        <f>1090+1005</f>
        <v>2095</v>
      </c>
      <c r="AB18" s="43">
        <f>930+1120</f>
        <v>2050</v>
      </c>
      <c r="AC18" s="43">
        <f>1245+130</f>
        <v>1375</v>
      </c>
      <c r="AD18" s="43">
        <f>685+1020</f>
        <v>1705</v>
      </c>
      <c r="AE18" s="43">
        <f>790+1250</f>
        <v>2040</v>
      </c>
      <c r="AF18" s="43">
        <f>550+1040</f>
        <v>1590</v>
      </c>
      <c r="AG18" s="43">
        <f>2020+1900</f>
        <v>3920</v>
      </c>
    </row>
    <row r="19" spans="1:33" ht="16.5" customHeight="1" x14ac:dyDescent="0.3">
      <c r="A19" s="94"/>
      <c r="B19" s="96" t="s">
        <v>2</v>
      </c>
      <c r="C19" s="97"/>
      <c r="D19" s="39">
        <f t="shared" si="0"/>
        <v>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</row>
    <row r="20" spans="1:33" ht="16.5" customHeight="1" x14ac:dyDescent="0.3">
      <c r="A20" s="94"/>
      <c r="B20" s="98" t="s">
        <v>16</v>
      </c>
      <c r="C20" s="99"/>
      <c r="D20" s="39">
        <f t="shared" si="0"/>
        <v>6165</v>
      </c>
      <c r="E20" s="41">
        <v>958</v>
      </c>
      <c r="F20" s="41">
        <v>5</v>
      </c>
      <c r="G20" s="41">
        <v>60</v>
      </c>
      <c r="H20" s="41">
        <v>188</v>
      </c>
      <c r="I20" s="41">
        <v>477</v>
      </c>
      <c r="J20" s="41">
        <v>5</v>
      </c>
      <c r="K20" s="41">
        <v>65</v>
      </c>
      <c r="L20" s="41">
        <v>255</v>
      </c>
      <c r="M20" s="41">
        <v>911</v>
      </c>
      <c r="N20" s="41">
        <v>5</v>
      </c>
      <c r="O20" s="41">
        <v>70</v>
      </c>
      <c r="P20" s="41">
        <v>38</v>
      </c>
      <c r="Q20" s="41">
        <v>251</v>
      </c>
      <c r="R20" s="43">
        <v>5</v>
      </c>
      <c r="S20" s="43">
        <v>120</v>
      </c>
      <c r="T20" s="43">
        <f>146+150</f>
        <v>296</v>
      </c>
      <c r="U20" s="43">
        <f>5</f>
        <v>5</v>
      </c>
      <c r="V20" s="43">
        <f>100</f>
        <v>100</v>
      </c>
      <c r="W20" s="43">
        <f>85+155</f>
        <v>240</v>
      </c>
      <c r="X20" s="43">
        <f>156+150</f>
        <v>306</v>
      </c>
      <c r="Y20" s="43">
        <f>5</f>
        <v>5</v>
      </c>
      <c r="Z20" s="43">
        <f>70</f>
        <v>70</v>
      </c>
      <c r="AA20" s="43">
        <f>65+160</f>
        <v>225</v>
      </c>
      <c r="AB20" s="43">
        <f>65+163</f>
        <v>228</v>
      </c>
      <c r="AC20" s="43">
        <f>444+10</f>
        <v>454</v>
      </c>
      <c r="AD20" s="43">
        <f>5</f>
        <v>5</v>
      </c>
      <c r="AE20" s="43">
        <f>100+0</f>
        <v>100</v>
      </c>
      <c r="AF20" s="43">
        <f>45+148</f>
        <v>193</v>
      </c>
      <c r="AG20" s="43">
        <f>210+315</f>
        <v>525</v>
      </c>
    </row>
    <row r="21" spans="1:33" ht="16.5" customHeight="1" x14ac:dyDescent="0.3">
      <c r="A21" s="94"/>
      <c r="B21" s="98" t="s">
        <v>10</v>
      </c>
      <c r="C21" s="99"/>
      <c r="D21" s="39">
        <f t="shared" si="0"/>
        <v>2537</v>
      </c>
      <c r="E21" s="41">
        <v>120</v>
      </c>
      <c r="F21" s="41">
        <v>90</v>
      </c>
      <c r="G21" s="41">
        <v>53</v>
      </c>
      <c r="H21" s="41">
        <v>34</v>
      </c>
      <c r="I21" s="41">
        <v>118</v>
      </c>
      <c r="J21" s="41">
        <v>90</v>
      </c>
      <c r="K21" s="41">
        <v>55</v>
      </c>
      <c r="L21" s="41">
        <v>41</v>
      </c>
      <c r="M21" s="41">
        <v>209</v>
      </c>
      <c r="N21" s="41">
        <v>90</v>
      </c>
      <c r="O21" s="41">
        <v>73</v>
      </c>
      <c r="P21" s="41">
        <v>16</v>
      </c>
      <c r="Q21" s="41">
        <v>135</v>
      </c>
      <c r="R21" s="43">
        <v>90</v>
      </c>
      <c r="S21" s="43">
        <v>84</v>
      </c>
      <c r="T21" s="43">
        <f>19+110</f>
        <v>129</v>
      </c>
      <c r="U21" s="43">
        <f>65+25</f>
        <v>90</v>
      </c>
      <c r="V21" s="43">
        <f>35+28</f>
        <v>63</v>
      </c>
      <c r="W21" s="43">
        <f>20+28</f>
        <v>48</v>
      </c>
      <c r="X21" s="43">
        <f>23+110</f>
        <v>133</v>
      </c>
      <c r="Y21" s="43">
        <f>65+25</f>
        <v>90</v>
      </c>
      <c r="Z21" s="43">
        <f>35+70</f>
        <v>105</v>
      </c>
      <c r="AA21" s="43">
        <f>18+26</f>
        <v>44</v>
      </c>
      <c r="AB21" s="43">
        <f>26+14</f>
        <v>40</v>
      </c>
      <c r="AC21" s="43">
        <f>15+110</f>
        <v>125</v>
      </c>
      <c r="AD21" s="43">
        <f>65+25</f>
        <v>90</v>
      </c>
      <c r="AE21" s="43">
        <v>89</v>
      </c>
      <c r="AF21" s="43">
        <f>22+11</f>
        <v>33</v>
      </c>
      <c r="AG21" s="43">
        <f>110+50</f>
        <v>160</v>
      </c>
    </row>
    <row r="22" spans="1:33" ht="16.5" customHeight="1" x14ac:dyDescent="0.3">
      <c r="A22" s="95"/>
      <c r="B22" s="98" t="s">
        <v>36</v>
      </c>
      <c r="C22" s="99"/>
      <c r="D22" s="39">
        <f t="shared" si="0"/>
        <v>54</v>
      </c>
      <c r="E22" s="41"/>
      <c r="F22" s="41">
        <v>27</v>
      </c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>
        <v>27</v>
      </c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ht="16.5" customHeight="1" x14ac:dyDescent="0.3">
      <c r="A23" s="88" t="s">
        <v>4</v>
      </c>
      <c r="B23" s="89"/>
      <c r="C23" s="90"/>
      <c r="D23" s="39">
        <f>SUM(E23:AG23)</f>
        <v>186485</v>
      </c>
      <c r="E23" s="46">
        <f t="shared" ref="E23:AG38" si="1">SUM(E6:E22)</f>
        <v>7723</v>
      </c>
      <c r="F23" s="46">
        <f t="shared" si="1"/>
        <v>6813</v>
      </c>
      <c r="G23" s="46">
        <f t="shared" si="1"/>
        <v>5173</v>
      </c>
      <c r="H23" s="46">
        <f t="shared" si="1"/>
        <v>5897</v>
      </c>
      <c r="I23" s="46">
        <f t="shared" si="1"/>
        <v>5850</v>
      </c>
      <c r="J23" s="46">
        <f t="shared" si="1"/>
        <v>5116</v>
      </c>
      <c r="K23" s="46">
        <f t="shared" si="1"/>
        <v>5590</v>
      </c>
      <c r="L23" s="46">
        <f t="shared" si="1"/>
        <v>7166</v>
      </c>
      <c r="M23" s="46">
        <f t="shared" si="1"/>
        <v>9720</v>
      </c>
      <c r="N23" s="46">
        <f t="shared" si="1"/>
        <v>5636</v>
      </c>
      <c r="O23" s="46">
        <f t="shared" si="1"/>
        <v>5743</v>
      </c>
      <c r="P23" s="46">
        <f t="shared" si="1"/>
        <v>2396</v>
      </c>
      <c r="Q23" s="46">
        <f t="shared" si="1"/>
        <v>3431</v>
      </c>
      <c r="R23" s="46">
        <f t="shared" si="1"/>
        <v>6543</v>
      </c>
      <c r="S23" s="46">
        <f t="shared" si="1"/>
        <v>6464</v>
      </c>
      <c r="T23" s="46">
        <f t="shared" si="1"/>
        <v>6423</v>
      </c>
      <c r="U23" s="46">
        <f t="shared" si="1"/>
        <v>6116</v>
      </c>
      <c r="V23" s="46">
        <f>SUM(V6:V22)</f>
        <v>6183</v>
      </c>
      <c r="W23" s="46">
        <f t="shared" si="1"/>
        <v>7208</v>
      </c>
      <c r="X23" s="46">
        <f t="shared" si="1"/>
        <v>6534</v>
      </c>
      <c r="Y23" s="46">
        <f t="shared" si="1"/>
        <v>5176</v>
      </c>
      <c r="Z23" s="46">
        <f t="shared" si="1"/>
        <v>5465</v>
      </c>
      <c r="AA23" s="46">
        <f t="shared" si="1"/>
        <v>7469</v>
      </c>
      <c r="AB23" s="46">
        <f t="shared" si="1"/>
        <v>6933</v>
      </c>
      <c r="AC23" s="46">
        <f t="shared" si="1"/>
        <v>6484</v>
      </c>
      <c r="AD23" s="46">
        <f t="shared" si="1"/>
        <v>8893</v>
      </c>
      <c r="AE23" s="46">
        <f t="shared" si="1"/>
        <v>7369</v>
      </c>
      <c r="AF23" s="46">
        <f t="shared" si="1"/>
        <v>6041</v>
      </c>
      <c r="AG23" s="46">
        <f t="shared" si="1"/>
        <v>10930</v>
      </c>
    </row>
    <row r="24" spans="1:33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10346</v>
      </c>
      <c r="E24" s="41"/>
      <c r="F24" s="41"/>
      <c r="G24" s="46">
        <f t="shared" si="1"/>
        <v>10346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ht="16.5" hidden="1" customHeight="1" x14ac:dyDescent="0.3">
      <c r="A25" s="94"/>
      <c r="B25" s="94"/>
      <c r="C25" s="36" t="s">
        <v>26</v>
      </c>
      <c r="D25" s="39">
        <f t="shared" si="2"/>
        <v>18050</v>
      </c>
      <c r="E25" s="41"/>
      <c r="F25" s="41"/>
      <c r="G25" s="46">
        <f t="shared" si="1"/>
        <v>18050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ht="16.5" hidden="1" customHeight="1" x14ac:dyDescent="0.3">
      <c r="A26" s="94"/>
      <c r="B26" s="94"/>
      <c r="C26" s="36" t="s">
        <v>35</v>
      </c>
      <c r="D26" s="39">
        <f t="shared" si="2"/>
        <v>36100</v>
      </c>
      <c r="E26" s="41"/>
      <c r="F26" s="41"/>
      <c r="G26" s="46">
        <f t="shared" si="1"/>
        <v>36100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ht="16.5" hidden="1" customHeight="1" x14ac:dyDescent="0.3">
      <c r="A27" s="94"/>
      <c r="B27" s="94"/>
      <c r="C27" s="36" t="s">
        <v>48</v>
      </c>
      <c r="D27" s="39">
        <f t="shared" si="2"/>
        <v>71170</v>
      </c>
      <c r="E27" s="41"/>
      <c r="F27" s="41"/>
      <c r="G27" s="46">
        <f t="shared" si="1"/>
        <v>71170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ht="16.5" hidden="1" customHeight="1" x14ac:dyDescent="0.3">
      <c r="A28" s="94"/>
      <c r="B28" s="94"/>
      <c r="C28" s="36" t="s">
        <v>41</v>
      </c>
      <c r="D28" s="39">
        <f t="shared" si="2"/>
        <v>142340</v>
      </c>
      <c r="E28" s="41"/>
      <c r="F28" s="41"/>
      <c r="G28" s="46">
        <f t="shared" si="1"/>
        <v>142340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</row>
    <row r="29" spans="1:33" ht="16.5" hidden="1" customHeight="1" x14ac:dyDescent="0.3">
      <c r="A29" s="94"/>
      <c r="B29" s="94"/>
      <c r="C29" s="36" t="s">
        <v>28</v>
      </c>
      <c r="D29" s="39">
        <f t="shared" si="2"/>
        <v>284680</v>
      </c>
      <c r="E29" s="41"/>
      <c r="F29" s="41"/>
      <c r="G29" s="46">
        <f t="shared" si="1"/>
        <v>284680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</row>
    <row r="30" spans="1:33" ht="16.5" hidden="1" customHeight="1" x14ac:dyDescent="0.3">
      <c r="A30" s="94"/>
      <c r="B30" s="94"/>
      <c r="C30" s="36" t="s">
        <v>40</v>
      </c>
      <c r="D30" s="39">
        <f t="shared" si="2"/>
        <v>569360</v>
      </c>
      <c r="E30" s="41"/>
      <c r="F30" s="41"/>
      <c r="G30" s="46">
        <f t="shared" si="1"/>
        <v>569360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</row>
    <row r="31" spans="1:33" ht="16.5" hidden="1" customHeight="1" x14ac:dyDescent="0.3">
      <c r="A31" s="94"/>
      <c r="B31" s="94"/>
      <c r="C31" s="36" t="s">
        <v>38</v>
      </c>
      <c r="D31" s="39">
        <f t="shared" si="2"/>
        <v>1138720</v>
      </c>
      <c r="E31" s="41"/>
      <c r="F31" s="41"/>
      <c r="G31" s="46">
        <f t="shared" si="1"/>
        <v>1138720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</row>
    <row r="32" spans="1:33" ht="16.5" hidden="1" customHeight="1" x14ac:dyDescent="0.3">
      <c r="A32" s="94"/>
      <c r="B32" s="94"/>
      <c r="C32" s="36" t="s">
        <v>12</v>
      </c>
      <c r="D32" s="39">
        <f t="shared" si="2"/>
        <v>2277440</v>
      </c>
      <c r="E32" s="41"/>
      <c r="F32" s="41"/>
      <c r="G32" s="46">
        <f t="shared" si="1"/>
        <v>2277440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</row>
    <row r="33" spans="1:33" ht="16.5" hidden="1" customHeight="1" x14ac:dyDescent="0.3">
      <c r="A33" s="94"/>
      <c r="B33" s="94"/>
      <c r="C33" s="36" t="s">
        <v>44</v>
      </c>
      <c r="D33" s="39">
        <f t="shared" si="2"/>
        <v>4554880</v>
      </c>
      <c r="E33" s="41"/>
      <c r="F33" s="41"/>
      <c r="G33" s="46">
        <f t="shared" si="1"/>
        <v>4554880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</row>
    <row r="34" spans="1:33" ht="16.5" hidden="1" customHeight="1" x14ac:dyDescent="0.3">
      <c r="A34" s="94"/>
      <c r="B34" s="95"/>
      <c r="C34" s="36" t="s">
        <v>21</v>
      </c>
      <c r="D34" s="39">
        <f t="shared" si="2"/>
        <v>9109760</v>
      </c>
      <c r="E34" s="41"/>
      <c r="F34" s="41"/>
      <c r="G34" s="46">
        <f t="shared" si="1"/>
        <v>9109760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</row>
    <row r="35" spans="1:33" ht="16.5" hidden="1" customHeight="1" x14ac:dyDescent="0.3">
      <c r="A35" s="94"/>
      <c r="B35" s="93" t="s">
        <v>13</v>
      </c>
      <c r="C35" s="36" t="s">
        <v>50</v>
      </c>
      <c r="D35" s="39">
        <f t="shared" si="2"/>
        <v>18219520</v>
      </c>
      <c r="E35" s="41"/>
      <c r="F35" s="41"/>
      <c r="G35" s="46">
        <f t="shared" si="1"/>
        <v>18219520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</row>
    <row r="36" spans="1:33" ht="16.5" hidden="1" customHeight="1" x14ac:dyDescent="0.3">
      <c r="A36" s="94"/>
      <c r="B36" s="94"/>
      <c r="C36" s="36" t="s">
        <v>37</v>
      </c>
      <c r="D36" s="39">
        <f t="shared" si="2"/>
        <v>36437652</v>
      </c>
      <c r="E36" s="41"/>
      <c r="F36" s="41"/>
      <c r="G36" s="46">
        <f t="shared" si="1"/>
        <v>36437652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</row>
    <row r="37" spans="1:33" ht="16.5" hidden="1" customHeight="1" x14ac:dyDescent="0.3">
      <c r="A37" s="94"/>
      <c r="B37" s="94"/>
      <c r="C37" s="36" t="s">
        <v>17</v>
      </c>
      <c r="D37" s="39">
        <f t="shared" si="2"/>
        <v>72875304</v>
      </c>
      <c r="E37" s="41"/>
      <c r="F37" s="41"/>
      <c r="G37" s="46">
        <f t="shared" si="1"/>
        <v>72875304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</row>
    <row r="38" spans="1:33" ht="16.5" hidden="1" customHeight="1" x14ac:dyDescent="0.3">
      <c r="A38" s="94"/>
      <c r="B38" s="94"/>
      <c r="C38" s="36" t="s">
        <v>34</v>
      </c>
      <c r="D38" s="39">
        <f t="shared" si="2"/>
        <v>145750548</v>
      </c>
      <c r="E38" s="41"/>
      <c r="F38" s="41"/>
      <c r="G38" s="46">
        <f t="shared" si="1"/>
        <v>145750548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</row>
    <row r="39" spans="1:33" ht="16.5" hidden="1" customHeight="1" x14ac:dyDescent="0.3">
      <c r="A39" s="94"/>
      <c r="B39" s="95"/>
      <c r="C39" s="36" t="s">
        <v>11</v>
      </c>
      <c r="D39" s="39">
        <f t="shared" si="2"/>
        <v>291501043</v>
      </c>
      <c r="E39" s="41"/>
      <c r="F39" s="41"/>
      <c r="G39" s="46">
        <f t="shared" ref="G39:G45" si="3">SUM(G22:G38)</f>
        <v>291501043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</row>
    <row r="40" spans="1:33" ht="16.5" hidden="1" customHeight="1" x14ac:dyDescent="0.3">
      <c r="A40" s="94"/>
      <c r="B40" s="93" t="s">
        <v>9</v>
      </c>
      <c r="C40" s="36" t="s">
        <v>42</v>
      </c>
      <c r="D40" s="39">
        <f t="shared" si="2"/>
        <v>583002086</v>
      </c>
      <c r="E40" s="41"/>
      <c r="F40" s="41"/>
      <c r="G40" s="46">
        <f t="shared" si="3"/>
        <v>583002086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</row>
    <row r="41" spans="1:33" ht="16.5" hidden="1" customHeight="1" x14ac:dyDescent="0.3">
      <c r="A41" s="94"/>
      <c r="B41" s="94"/>
      <c r="C41" s="36" t="s">
        <v>49</v>
      </c>
      <c r="D41" s="39">
        <f t="shared" si="2"/>
        <v>1165998999</v>
      </c>
      <c r="E41" s="41"/>
      <c r="F41" s="41"/>
      <c r="G41" s="46">
        <f t="shared" si="3"/>
        <v>1165998999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</row>
    <row r="42" spans="1:33" ht="16.5" hidden="1" customHeight="1" x14ac:dyDescent="0.3">
      <c r="A42" s="94"/>
      <c r="B42" s="94"/>
      <c r="C42" s="36" t="s">
        <v>46</v>
      </c>
      <c r="D42" s="39">
        <f t="shared" si="2"/>
        <v>2331987652</v>
      </c>
      <c r="E42" s="41"/>
      <c r="F42" s="41"/>
      <c r="G42" s="46">
        <f t="shared" si="3"/>
        <v>2331987652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</row>
    <row r="43" spans="1:33" ht="16.5" hidden="1" customHeight="1" x14ac:dyDescent="0.3">
      <c r="A43" s="94"/>
      <c r="B43" s="94"/>
      <c r="C43" s="36" t="s">
        <v>52</v>
      </c>
      <c r="D43" s="39">
        <f t="shared" si="2"/>
        <v>4663957254</v>
      </c>
      <c r="E43" s="41"/>
      <c r="F43" s="41"/>
      <c r="G43" s="46">
        <f t="shared" si="3"/>
        <v>4663957254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</row>
    <row r="44" spans="1:33" ht="16.5" hidden="1" customHeight="1" x14ac:dyDescent="0.3">
      <c r="A44" s="94"/>
      <c r="B44" s="94"/>
      <c r="C44" s="36" t="s">
        <v>43</v>
      </c>
      <c r="D44" s="39">
        <f t="shared" si="2"/>
        <v>9327878408</v>
      </c>
      <c r="E44" s="41"/>
      <c r="F44" s="41"/>
      <c r="G44" s="46">
        <f t="shared" si="3"/>
        <v>9327878408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</row>
    <row r="45" spans="1:33" ht="16.5" hidden="1" customHeight="1" x14ac:dyDescent="0.3">
      <c r="A45" s="94"/>
      <c r="B45" s="95"/>
      <c r="C45" s="36" t="s">
        <v>30</v>
      </c>
      <c r="D45" s="39">
        <f t="shared" si="2"/>
        <v>18655685646</v>
      </c>
      <c r="E45" s="41"/>
      <c r="F45" s="41"/>
      <c r="G45" s="46">
        <f t="shared" si="3"/>
        <v>18655685646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</row>
    <row r="46" spans="1:33" x14ac:dyDescent="0.3">
      <c r="A46" s="94"/>
      <c r="B46" s="93" t="s">
        <v>7</v>
      </c>
      <c r="C46" s="47" t="s">
        <v>33</v>
      </c>
      <c r="D46" s="39">
        <f>SUM(E46:AG46)</f>
        <v>0</v>
      </c>
      <c r="E46" s="41"/>
      <c r="F46" s="41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 x14ac:dyDescent="0.3">
      <c r="A47" s="95"/>
      <c r="B47" s="95"/>
      <c r="C47" s="47" t="s">
        <v>15</v>
      </c>
      <c r="D47" s="39">
        <f>SUM(E47:AG47)</f>
        <v>71875</v>
      </c>
      <c r="E47" s="41">
        <v>3630</v>
      </c>
      <c r="F47" s="41">
        <v>3091</v>
      </c>
      <c r="G47" s="41">
        <v>2170</v>
      </c>
      <c r="H47" s="41">
        <v>2285</v>
      </c>
      <c r="I47" s="41">
        <v>1935</v>
      </c>
      <c r="J47" s="41">
        <v>2791</v>
      </c>
      <c r="K47" s="41">
        <v>2270</v>
      </c>
      <c r="L47" s="41">
        <v>2385</v>
      </c>
      <c r="M47" s="41">
        <v>2475</v>
      </c>
      <c r="N47" s="41">
        <v>2991</v>
      </c>
      <c r="O47" s="41">
        <v>2150</v>
      </c>
      <c r="P47" s="41">
        <v>1589</v>
      </c>
      <c r="Q47" s="41">
        <v>1854</v>
      </c>
      <c r="R47" s="43">
        <v>3301</v>
      </c>
      <c r="S47" s="43">
        <v>2410</v>
      </c>
      <c r="T47" s="43">
        <f>910+1470</f>
        <v>2380</v>
      </c>
      <c r="U47" s="43">
        <f>1601+1520</f>
        <v>3121</v>
      </c>
      <c r="V47" s="43">
        <f>1000+700</f>
        <v>1700</v>
      </c>
      <c r="W47" s="43">
        <f>1100+1135</f>
        <v>2235</v>
      </c>
      <c r="X47" s="43">
        <f>920+1470</f>
        <v>2390</v>
      </c>
      <c r="Y47" s="43">
        <f>1601+1520</f>
        <v>3121</v>
      </c>
      <c r="Z47" s="43">
        <f>900+1400</f>
        <v>2300</v>
      </c>
      <c r="AA47" s="43">
        <f>1200+1145</f>
        <v>2345</v>
      </c>
      <c r="AB47" s="43">
        <f>1050+1270</f>
        <v>2320</v>
      </c>
      <c r="AC47" s="43">
        <f>700+1290</f>
        <v>1990</v>
      </c>
      <c r="AD47" s="43">
        <f>1460+1601</f>
        <v>3061</v>
      </c>
      <c r="AE47" s="43">
        <f>1000+1500</f>
        <v>2500</v>
      </c>
      <c r="AF47" s="43">
        <f>950+1255</f>
        <v>2205</v>
      </c>
      <c r="AG47" s="43">
        <f>1890+990</f>
        <v>2880</v>
      </c>
    </row>
    <row r="48" spans="1:33" ht="16.5" customHeight="1" x14ac:dyDescent="0.3">
      <c r="A48" s="88" t="s">
        <v>4</v>
      </c>
      <c r="B48" s="89"/>
      <c r="C48" s="90"/>
      <c r="D48" s="39">
        <f>SUM(E48:AG48)</f>
        <v>71875</v>
      </c>
      <c r="E48" s="50">
        <f t="shared" ref="E48:AG48" si="4">SUM(E46:E47)</f>
        <v>3630</v>
      </c>
      <c r="F48" s="50">
        <f t="shared" si="4"/>
        <v>3091</v>
      </c>
      <c r="G48" s="50">
        <f t="shared" si="4"/>
        <v>2170</v>
      </c>
      <c r="H48" s="50">
        <f t="shared" si="4"/>
        <v>2285</v>
      </c>
      <c r="I48" s="50">
        <f t="shared" si="4"/>
        <v>1935</v>
      </c>
      <c r="J48" s="50">
        <f t="shared" si="4"/>
        <v>2791</v>
      </c>
      <c r="K48" s="50">
        <f t="shared" si="4"/>
        <v>2270</v>
      </c>
      <c r="L48" s="50">
        <f t="shared" si="4"/>
        <v>2385</v>
      </c>
      <c r="M48" s="50">
        <f t="shared" si="4"/>
        <v>2475</v>
      </c>
      <c r="N48" s="50">
        <f t="shared" si="4"/>
        <v>2991</v>
      </c>
      <c r="O48" s="50">
        <f t="shared" si="4"/>
        <v>2150</v>
      </c>
      <c r="P48" s="50">
        <f t="shared" si="4"/>
        <v>1589</v>
      </c>
      <c r="Q48" s="50">
        <f t="shared" si="4"/>
        <v>1854</v>
      </c>
      <c r="R48" s="50">
        <f t="shared" si="4"/>
        <v>3301</v>
      </c>
      <c r="S48" s="50">
        <f t="shared" si="4"/>
        <v>2410</v>
      </c>
      <c r="T48" s="50">
        <f t="shared" si="4"/>
        <v>2380</v>
      </c>
      <c r="U48" s="50">
        <f t="shared" si="4"/>
        <v>3121</v>
      </c>
      <c r="V48" s="50">
        <f t="shared" si="4"/>
        <v>1700</v>
      </c>
      <c r="W48" s="50">
        <f t="shared" si="4"/>
        <v>2235</v>
      </c>
      <c r="X48" s="50">
        <f t="shared" si="4"/>
        <v>2390</v>
      </c>
      <c r="Y48" s="50">
        <f t="shared" si="4"/>
        <v>3121</v>
      </c>
      <c r="Z48" s="50">
        <f t="shared" si="4"/>
        <v>2300</v>
      </c>
      <c r="AA48" s="50">
        <f t="shared" si="4"/>
        <v>2345</v>
      </c>
      <c r="AB48" s="50">
        <f t="shared" si="4"/>
        <v>2320</v>
      </c>
      <c r="AC48" s="50">
        <f t="shared" si="4"/>
        <v>1990</v>
      </c>
      <c r="AD48" s="50">
        <f t="shared" si="4"/>
        <v>3061</v>
      </c>
      <c r="AE48" s="50">
        <f t="shared" si="4"/>
        <v>2500</v>
      </c>
      <c r="AF48" s="50">
        <f t="shared" si="4"/>
        <v>2205</v>
      </c>
      <c r="AG48" s="50">
        <f t="shared" si="4"/>
        <v>2880</v>
      </c>
    </row>
    <row r="49" spans="1:33" ht="16.5" customHeight="1" x14ac:dyDescent="0.3">
      <c r="A49" s="100" t="s">
        <v>5</v>
      </c>
      <c r="B49" s="101"/>
      <c r="C49" s="102"/>
      <c r="D49" s="51">
        <f>SUM(E49:AG49)</f>
        <v>258360</v>
      </c>
      <c r="E49" s="52">
        <f t="shared" ref="E49:AG49" si="5">SUM(E23,E48)</f>
        <v>11353</v>
      </c>
      <c r="F49" s="52">
        <f t="shared" si="5"/>
        <v>9904</v>
      </c>
      <c r="G49" s="52">
        <f t="shared" si="5"/>
        <v>7343</v>
      </c>
      <c r="H49" s="52">
        <f t="shared" si="5"/>
        <v>8182</v>
      </c>
      <c r="I49" s="52">
        <f t="shared" si="5"/>
        <v>7785</v>
      </c>
      <c r="J49" s="52">
        <f t="shared" si="5"/>
        <v>7907</v>
      </c>
      <c r="K49" s="52">
        <f t="shared" si="5"/>
        <v>7860</v>
      </c>
      <c r="L49" s="52">
        <f t="shared" si="5"/>
        <v>9551</v>
      </c>
      <c r="M49" s="52">
        <f t="shared" si="5"/>
        <v>12195</v>
      </c>
      <c r="N49" s="52">
        <f t="shared" si="5"/>
        <v>8627</v>
      </c>
      <c r="O49" s="52">
        <f t="shared" si="5"/>
        <v>7893</v>
      </c>
      <c r="P49" s="52">
        <f t="shared" si="5"/>
        <v>3985</v>
      </c>
      <c r="Q49" s="52">
        <f t="shared" si="5"/>
        <v>5285</v>
      </c>
      <c r="R49" s="52">
        <f t="shared" si="5"/>
        <v>9844</v>
      </c>
      <c r="S49" s="52">
        <f t="shared" si="5"/>
        <v>8874</v>
      </c>
      <c r="T49" s="52">
        <f t="shared" si="5"/>
        <v>8803</v>
      </c>
      <c r="U49" s="52">
        <f t="shared" si="5"/>
        <v>9237</v>
      </c>
      <c r="V49" s="52">
        <f t="shared" si="5"/>
        <v>7883</v>
      </c>
      <c r="W49" s="52">
        <f t="shared" si="5"/>
        <v>9443</v>
      </c>
      <c r="X49" s="52">
        <f t="shared" si="5"/>
        <v>8924</v>
      </c>
      <c r="Y49" s="52">
        <f t="shared" si="5"/>
        <v>8297</v>
      </c>
      <c r="Z49" s="52">
        <f t="shared" si="5"/>
        <v>7765</v>
      </c>
      <c r="AA49" s="52">
        <f t="shared" si="5"/>
        <v>9814</v>
      </c>
      <c r="AB49" s="52">
        <f t="shared" si="5"/>
        <v>9253</v>
      </c>
      <c r="AC49" s="52">
        <f t="shared" si="5"/>
        <v>8474</v>
      </c>
      <c r="AD49" s="52">
        <f t="shared" si="5"/>
        <v>11954</v>
      </c>
      <c r="AE49" s="52">
        <f t="shared" si="5"/>
        <v>9869</v>
      </c>
      <c r="AF49" s="52">
        <f t="shared" si="5"/>
        <v>8246</v>
      </c>
      <c r="AG49" s="52">
        <f t="shared" si="5"/>
        <v>13810</v>
      </c>
    </row>
  </sheetData>
  <mergeCells count="31"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  <mergeCell ref="B15:C15"/>
    <mergeCell ref="B16:C16"/>
    <mergeCell ref="B17:C17"/>
    <mergeCell ref="B18:C18"/>
    <mergeCell ref="B19:C19"/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I56" sqref="I56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113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60</v>
      </c>
      <c r="F4" s="36" t="s">
        <v>76</v>
      </c>
      <c r="G4" s="36" t="s">
        <v>77</v>
      </c>
      <c r="H4" s="36" t="s">
        <v>78</v>
      </c>
      <c r="I4" s="36" t="s">
        <v>79</v>
      </c>
      <c r="J4" s="36" t="s">
        <v>80</v>
      </c>
      <c r="K4" s="36" t="s">
        <v>81</v>
      </c>
      <c r="L4" s="36" t="s">
        <v>75</v>
      </c>
      <c r="M4" s="36" t="s">
        <v>76</v>
      </c>
      <c r="N4" s="36" t="s">
        <v>77</v>
      </c>
      <c r="O4" s="36" t="s">
        <v>78</v>
      </c>
      <c r="P4" s="36" t="s">
        <v>79</v>
      </c>
      <c r="Q4" s="36" t="s">
        <v>80</v>
      </c>
      <c r="R4" s="36" t="s">
        <v>81</v>
      </c>
      <c r="S4" s="36" t="s">
        <v>75</v>
      </c>
      <c r="T4" s="36" t="s">
        <v>76</v>
      </c>
      <c r="U4" s="36" t="s">
        <v>77</v>
      </c>
      <c r="V4" s="36" t="s">
        <v>78</v>
      </c>
      <c r="W4" s="36" t="s">
        <v>79</v>
      </c>
      <c r="X4" s="36" t="s">
        <v>80</v>
      </c>
      <c r="Y4" s="36" t="s">
        <v>81</v>
      </c>
      <c r="Z4" s="36" t="s">
        <v>75</v>
      </c>
      <c r="AA4" s="36" t="s">
        <v>76</v>
      </c>
      <c r="AB4" s="36" t="s">
        <v>77</v>
      </c>
      <c r="AC4" s="36" t="s">
        <v>78</v>
      </c>
      <c r="AD4" s="36" t="s">
        <v>79</v>
      </c>
      <c r="AE4" s="36" t="s">
        <v>80</v>
      </c>
      <c r="AF4" s="36" t="s">
        <v>81</v>
      </c>
      <c r="AG4" s="36" t="s">
        <v>75</v>
      </c>
      <c r="AH4" s="36" t="s">
        <v>76</v>
      </c>
      <c r="AI4" s="36" t="s">
        <v>77</v>
      </c>
      <c r="AJ4" s="36" t="s">
        <v>78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65</v>
      </c>
      <c r="F5" s="38" t="s">
        <v>65</v>
      </c>
      <c r="G5" s="38" t="s">
        <v>65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  <c r="T5" s="38" t="s">
        <v>65</v>
      </c>
      <c r="U5" s="38" t="s">
        <v>65</v>
      </c>
      <c r="V5" s="38" t="s">
        <v>65</v>
      </c>
      <c r="W5" s="38" t="s">
        <v>65</v>
      </c>
      <c r="X5" s="38" t="s">
        <v>65</v>
      </c>
      <c r="Y5" s="38" t="s">
        <v>65</v>
      </c>
      <c r="Z5" s="38" t="s">
        <v>65</v>
      </c>
      <c r="AA5" s="38" t="s">
        <v>65</v>
      </c>
      <c r="AB5" s="38" t="s">
        <v>65</v>
      </c>
      <c r="AC5" s="38" t="s">
        <v>65</v>
      </c>
      <c r="AD5" s="38" t="s">
        <v>65</v>
      </c>
      <c r="AE5" s="38" t="s">
        <v>65</v>
      </c>
      <c r="AF5" s="38" t="s">
        <v>65</v>
      </c>
      <c r="AG5" s="38" t="s">
        <v>65</v>
      </c>
      <c r="AH5" s="38" t="s">
        <v>65</v>
      </c>
      <c r="AI5" s="38" t="s">
        <v>65</v>
      </c>
      <c r="AJ5" s="38" t="s">
        <v>65</v>
      </c>
    </row>
    <row r="6" spans="1:36" ht="16.5" customHeight="1" x14ac:dyDescent="0.3">
      <c r="A6" s="94"/>
      <c r="B6" s="98" t="s">
        <v>22</v>
      </c>
      <c r="C6" s="99"/>
      <c r="D6" s="39">
        <f>SUM(E6:AH6)</f>
        <v>7400</v>
      </c>
      <c r="E6" s="41">
        <v>6600</v>
      </c>
      <c r="F6" s="41"/>
      <c r="G6" s="41">
        <v>0</v>
      </c>
      <c r="H6" s="41">
        <v>380</v>
      </c>
      <c r="I6" s="41"/>
      <c r="J6" s="41">
        <v>0</v>
      </c>
      <c r="K6" s="41">
        <v>0</v>
      </c>
      <c r="L6" s="41">
        <v>420</v>
      </c>
      <c r="M6" s="41">
        <v>0</v>
      </c>
      <c r="N6" s="41">
        <v>0</v>
      </c>
      <c r="O6" s="42">
        <v>0</v>
      </c>
      <c r="P6" s="41">
        <v>0</v>
      </c>
      <c r="Q6" s="41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4">
        <v>0</v>
      </c>
      <c r="AI6" s="43"/>
      <c r="AJ6" s="44">
        <v>0</v>
      </c>
    </row>
    <row r="7" spans="1:36" ht="16.5" customHeight="1" x14ac:dyDescent="0.3">
      <c r="A7" s="94"/>
      <c r="B7" s="98" t="s">
        <v>23</v>
      </c>
      <c r="C7" s="99"/>
      <c r="D7" s="39">
        <f t="shared" ref="D7:D23" si="0">SUM(E7:AH7)</f>
        <v>116986</v>
      </c>
      <c r="E7" s="41">
        <v>0</v>
      </c>
      <c r="F7" s="41">
        <v>2780</v>
      </c>
      <c r="G7" s="41">
        <v>1625</v>
      </c>
      <c r="H7" s="41">
        <v>950</v>
      </c>
      <c r="I7" s="41">
        <v>2105</v>
      </c>
      <c r="J7" s="41">
        <f>1880+1270</f>
        <v>3150</v>
      </c>
      <c r="K7" s="41">
        <v>2125</v>
      </c>
      <c r="L7" s="41">
        <v>4450</v>
      </c>
      <c r="M7" s="41">
        <f>2155</f>
        <v>2155</v>
      </c>
      <c r="N7" s="41">
        <f>1380+970</f>
        <v>2350</v>
      </c>
      <c r="O7" s="41">
        <v>754</v>
      </c>
      <c r="P7" s="41">
        <v>1660</v>
      </c>
      <c r="Q7" s="41">
        <v>2625</v>
      </c>
      <c r="R7" s="43">
        <f>2480+1950</f>
        <v>4430</v>
      </c>
      <c r="S7" s="43">
        <v>2354</v>
      </c>
      <c r="T7" s="43">
        <v>2140</v>
      </c>
      <c r="U7" s="43">
        <v>5005</v>
      </c>
      <c r="V7" s="43">
        <v>8180</v>
      </c>
      <c r="W7" s="43">
        <v>2021</v>
      </c>
      <c r="X7" s="43">
        <v>3190</v>
      </c>
      <c r="Y7" s="43">
        <v>6705</v>
      </c>
      <c r="Z7" s="43">
        <v>11510</v>
      </c>
      <c r="AA7" s="43">
        <v>3202</v>
      </c>
      <c r="AB7" s="43">
        <v>3190</v>
      </c>
      <c r="AC7" s="43">
        <v>4405</v>
      </c>
      <c r="AD7" s="43">
        <v>7980</v>
      </c>
      <c r="AE7" s="43">
        <v>2970</v>
      </c>
      <c r="AF7" s="43">
        <v>3190</v>
      </c>
      <c r="AG7" s="43">
        <v>10405</v>
      </c>
      <c r="AH7" s="43">
        <v>9380</v>
      </c>
      <c r="AI7" s="43"/>
      <c r="AJ7" s="43">
        <v>3105</v>
      </c>
    </row>
    <row r="8" spans="1:36" ht="16.5" customHeight="1" x14ac:dyDescent="0.3">
      <c r="A8" s="94"/>
      <c r="B8" s="98" t="s">
        <v>25</v>
      </c>
      <c r="C8" s="99"/>
      <c r="D8" s="39">
        <f t="shared" si="0"/>
        <v>63902</v>
      </c>
      <c r="E8" s="41">
        <f>3005+1699</f>
        <v>4704</v>
      </c>
      <c r="F8" s="41"/>
      <c r="G8" s="41">
        <v>1570</v>
      </c>
      <c r="H8" s="41">
        <v>2335</v>
      </c>
      <c r="I8" s="41">
        <f>1279</f>
        <v>1279</v>
      </c>
      <c r="J8" s="41">
        <f>0</f>
        <v>0</v>
      </c>
      <c r="K8" s="41">
        <v>1980</v>
      </c>
      <c r="L8" s="41">
        <v>2935</v>
      </c>
      <c r="M8" s="41">
        <f>1159</f>
        <v>1159</v>
      </c>
      <c r="N8" s="41">
        <f>0</f>
        <v>0</v>
      </c>
      <c r="O8" s="41">
        <v>1560</v>
      </c>
      <c r="P8" s="41">
        <v>1731</v>
      </c>
      <c r="Q8" s="41">
        <v>2629</v>
      </c>
      <c r="R8" s="43">
        <f>0</f>
        <v>0</v>
      </c>
      <c r="S8" s="43">
        <v>1870</v>
      </c>
      <c r="T8" s="43">
        <v>3040</v>
      </c>
      <c r="U8" s="43">
        <v>3599</v>
      </c>
      <c r="V8" s="43">
        <v>0</v>
      </c>
      <c r="W8" s="43">
        <v>3100</v>
      </c>
      <c r="X8" s="43">
        <v>3354</v>
      </c>
      <c r="Y8" s="43">
        <v>4199</v>
      </c>
      <c r="Z8" s="43">
        <v>0</v>
      </c>
      <c r="AA8" s="43">
        <v>3350</v>
      </c>
      <c r="AB8" s="43">
        <v>3078</v>
      </c>
      <c r="AC8" s="43">
        <v>2799</v>
      </c>
      <c r="AD8" s="43">
        <v>0</v>
      </c>
      <c r="AE8" s="43">
        <v>3750</v>
      </c>
      <c r="AF8" s="43">
        <v>4982</v>
      </c>
      <c r="AG8" s="43">
        <v>4899</v>
      </c>
      <c r="AH8" s="43">
        <v>0</v>
      </c>
      <c r="AI8" s="43"/>
      <c r="AJ8" s="43">
        <v>3500</v>
      </c>
    </row>
    <row r="9" spans="1:36" ht="16.5" customHeight="1" x14ac:dyDescent="0.3">
      <c r="A9" s="94"/>
      <c r="B9" s="98" t="s">
        <v>29</v>
      </c>
      <c r="C9" s="99"/>
      <c r="D9" s="39">
        <f t="shared" si="0"/>
        <v>61014</v>
      </c>
      <c r="E9" s="41">
        <v>934</v>
      </c>
      <c r="F9" s="41">
        <f>790+610</f>
        <v>1400</v>
      </c>
      <c r="G9" s="41">
        <f>340+830</f>
        <v>1170</v>
      </c>
      <c r="H9" s="41">
        <f>730+880</f>
        <v>1610</v>
      </c>
      <c r="I9" s="41">
        <f>394+350</f>
        <v>744</v>
      </c>
      <c r="J9" s="41">
        <f>610+820</f>
        <v>1430</v>
      </c>
      <c r="K9" s="41">
        <f>760+1330</f>
        <v>2090</v>
      </c>
      <c r="L9" s="41">
        <f>1555+2650</f>
        <v>4205</v>
      </c>
      <c r="M9" s="41">
        <f>362+350</f>
        <v>712</v>
      </c>
      <c r="N9" s="41">
        <f>610+520</f>
        <v>1130</v>
      </c>
      <c r="O9" s="41">
        <f>710+223</f>
        <v>933</v>
      </c>
      <c r="P9" s="41">
        <f>353+750</f>
        <v>1103</v>
      </c>
      <c r="Q9" s="41">
        <f>592+350</f>
        <v>942</v>
      </c>
      <c r="R9" s="43">
        <f>610+770</f>
        <v>1380</v>
      </c>
      <c r="S9" s="43">
        <f>810+306</f>
        <v>1116</v>
      </c>
      <c r="T9" s="43">
        <v>1737</v>
      </c>
      <c r="U9" s="43">
        <v>2075</v>
      </c>
      <c r="V9" s="43">
        <v>1810</v>
      </c>
      <c r="W9" s="43">
        <v>1694</v>
      </c>
      <c r="X9" s="43">
        <v>3935</v>
      </c>
      <c r="Y9" s="43">
        <v>3010</v>
      </c>
      <c r="Z9" s="43">
        <v>2110</v>
      </c>
      <c r="AA9" s="43">
        <v>2445</v>
      </c>
      <c r="AB9" s="43">
        <v>3785</v>
      </c>
      <c r="AC9" s="43">
        <v>3050</v>
      </c>
      <c r="AD9" s="43">
        <v>1930</v>
      </c>
      <c r="AE9" s="43">
        <v>2401</v>
      </c>
      <c r="AF9" s="43">
        <v>4873</v>
      </c>
      <c r="AG9" s="43">
        <v>3350</v>
      </c>
      <c r="AH9" s="43">
        <v>1910</v>
      </c>
      <c r="AI9" s="43"/>
      <c r="AJ9" s="43">
        <v>2670</v>
      </c>
    </row>
    <row r="10" spans="1:36" ht="16.5" customHeight="1" x14ac:dyDescent="0.3">
      <c r="A10" s="94"/>
      <c r="B10" s="96" t="s">
        <v>92</v>
      </c>
      <c r="C10" s="97"/>
      <c r="D10" s="39">
        <f t="shared" si="0"/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6.5" customHeight="1" x14ac:dyDescent="0.3">
      <c r="A18" s="94"/>
      <c r="B18" s="98" t="s">
        <v>1</v>
      </c>
      <c r="C18" s="99"/>
      <c r="D18" s="39">
        <f t="shared" si="0"/>
        <v>115613</v>
      </c>
      <c r="E18" s="41">
        <f>1520+1085</f>
        <v>2605</v>
      </c>
      <c r="F18" s="41">
        <f>590+970</f>
        <v>1560</v>
      </c>
      <c r="G18" s="41">
        <f>750+1040</f>
        <v>1790</v>
      </c>
      <c r="H18" s="41">
        <f>1880+1900</f>
        <v>3780</v>
      </c>
      <c r="I18" s="41">
        <f>885+1120</f>
        <v>2005</v>
      </c>
      <c r="J18" s="41">
        <f>1020+810</f>
        <v>1830</v>
      </c>
      <c r="K18" s="41">
        <f>1320+1540</f>
        <v>2860</v>
      </c>
      <c r="L18" s="41">
        <f>2385+3400</f>
        <v>5785</v>
      </c>
      <c r="M18" s="41">
        <f>655+1120</f>
        <v>1775</v>
      </c>
      <c r="N18" s="41">
        <f>890+610</f>
        <v>1500</v>
      </c>
      <c r="O18" s="41">
        <f>1190+861</f>
        <v>2051</v>
      </c>
      <c r="P18" s="41">
        <f>1173+830</f>
        <v>2003</v>
      </c>
      <c r="Q18" s="41">
        <f>1440+1375</f>
        <v>2815</v>
      </c>
      <c r="R18" s="43">
        <f>1110+1450</f>
        <v>2560</v>
      </c>
      <c r="S18" s="43">
        <f>1360+1203</f>
        <v>2563</v>
      </c>
      <c r="T18" s="43">
        <v>3707</v>
      </c>
      <c r="U18" s="43">
        <v>4590</v>
      </c>
      <c r="V18" s="43">
        <v>4660</v>
      </c>
      <c r="W18" s="43">
        <v>2431</v>
      </c>
      <c r="X18" s="43">
        <v>4932</v>
      </c>
      <c r="Y18" s="43">
        <v>7890</v>
      </c>
      <c r="Z18" s="43">
        <v>6920</v>
      </c>
      <c r="AA18" s="43">
        <v>3843</v>
      </c>
      <c r="AB18" s="43">
        <v>4932</v>
      </c>
      <c r="AC18" s="43">
        <v>6060</v>
      </c>
      <c r="AD18" s="43">
        <v>5220</v>
      </c>
      <c r="AE18" s="43">
        <v>4396</v>
      </c>
      <c r="AF18" s="43">
        <v>5970</v>
      </c>
      <c r="AG18" s="43">
        <v>7760</v>
      </c>
      <c r="AH18" s="43">
        <v>4820</v>
      </c>
      <c r="AI18" s="43"/>
      <c r="AJ18" s="43">
        <v>4635</v>
      </c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6.5" customHeight="1" x14ac:dyDescent="0.3">
      <c r="A20" s="94"/>
      <c r="B20" s="98" t="s">
        <v>16</v>
      </c>
      <c r="C20" s="99"/>
      <c r="D20" s="39">
        <f t="shared" si="0"/>
        <v>11712</v>
      </c>
      <c r="E20" s="41">
        <f>65+0</f>
        <v>65</v>
      </c>
      <c r="F20" s="41">
        <v>80</v>
      </c>
      <c r="G20" s="41">
        <f>36+148</f>
        <v>184</v>
      </c>
      <c r="H20" s="41">
        <f>274+210</f>
        <v>484</v>
      </c>
      <c r="I20" s="41">
        <f>45</f>
        <v>45</v>
      </c>
      <c r="J20" s="41">
        <f>70+0</f>
        <v>70</v>
      </c>
      <c r="K20" s="41">
        <f>75+198</f>
        <v>273</v>
      </c>
      <c r="L20" s="41">
        <f>320+640</f>
        <v>960</v>
      </c>
      <c r="M20" s="41">
        <f>45</f>
        <v>45</v>
      </c>
      <c r="N20" s="41">
        <f>42</f>
        <v>42</v>
      </c>
      <c r="O20" s="41">
        <f>55+321</f>
        <v>376</v>
      </c>
      <c r="P20" s="41">
        <f>197+10</f>
        <v>207</v>
      </c>
      <c r="Q20" s="41">
        <f>115</f>
        <v>115</v>
      </c>
      <c r="R20" s="43">
        <f>120</f>
        <v>120</v>
      </c>
      <c r="S20" s="43">
        <f>321+56</f>
        <v>377</v>
      </c>
      <c r="T20" s="43">
        <v>856</v>
      </c>
      <c r="U20" s="43">
        <v>250</v>
      </c>
      <c r="V20" s="43">
        <v>210</v>
      </c>
      <c r="W20" s="43">
        <v>225</v>
      </c>
      <c r="X20" s="43">
        <v>1293</v>
      </c>
      <c r="Y20" s="43">
        <v>395</v>
      </c>
      <c r="Z20" s="43">
        <v>290</v>
      </c>
      <c r="AA20" s="43">
        <v>423</v>
      </c>
      <c r="AB20" s="43">
        <v>1211</v>
      </c>
      <c r="AC20" s="43">
        <v>325</v>
      </c>
      <c r="AD20" s="43">
        <v>300</v>
      </c>
      <c r="AE20" s="43">
        <v>463</v>
      </c>
      <c r="AF20" s="43">
        <v>1413</v>
      </c>
      <c r="AG20" s="43">
        <v>325</v>
      </c>
      <c r="AH20" s="43">
        <v>290</v>
      </c>
      <c r="AI20" s="43"/>
      <c r="AJ20" s="43">
        <v>495</v>
      </c>
    </row>
    <row r="21" spans="1:36" ht="16.5" customHeight="1" x14ac:dyDescent="0.3">
      <c r="A21" s="94"/>
      <c r="B21" s="98" t="s">
        <v>10</v>
      </c>
      <c r="C21" s="99"/>
      <c r="D21" s="39">
        <f t="shared" si="0"/>
        <v>3875</v>
      </c>
      <c r="E21" s="41">
        <f>25+65</f>
        <v>90</v>
      </c>
      <c r="F21" s="41">
        <v>79</v>
      </c>
      <c r="G21" s="41">
        <f>26+11</f>
        <v>37</v>
      </c>
      <c r="H21" s="41">
        <f>41+110</f>
        <v>151</v>
      </c>
      <c r="I21" s="41">
        <v>80</v>
      </c>
      <c r="J21" s="41">
        <f>39+42</f>
        <v>81</v>
      </c>
      <c r="K21" s="41">
        <f>18+42</f>
        <v>60</v>
      </c>
      <c r="L21" s="41">
        <f>64+180</f>
        <v>244</v>
      </c>
      <c r="M21" s="41">
        <f>42+25</f>
        <v>67</v>
      </c>
      <c r="N21" s="41">
        <f>39+42</f>
        <v>81</v>
      </c>
      <c r="O21" s="41">
        <f>38</f>
        <v>38</v>
      </c>
      <c r="P21" s="41">
        <f>110</f>
        <v>110</v>
      </c>
      <c r="Q21" s="41">
        <f>25+70</f>
        <v>95</v>
      </c>
      <c r="R21" s="43">
        <f>61+39</f>
        <v>100</v>
      </c>
      <c r="S21" s="43">
        <f>43</f>
        <v>43</v>
      </c>
      <c r="T21" s="43">
        <v>164</v>
      </c>
      <c r="U21" s="43">
        <v>75</v>
      </c>
      <c r="V21" s="43">
        <v>130</v>
      </c>
      <c r="W21" s="43">
        <v>64</v>
      </c>
      <c r="X21" s="43">
        <v>220</v>
      </c>
      <c r="Y21" s="43">
        <v>275</v>
      </c>
      <c r="Z21" s="43">
        <v>189</v>
      </c>
      <c r="AA21" s="43">
        <v>58</v>
      </c>
      <c r="AB21" s="43">
        <v>220</v>
      </c>
      <c r="AC21" s="43">
        <v>275</v>
      </c>
      <c r="AD21" s="43">
        <v>149</v>
      </c>
      <c r="AE21" s="43">
        <v>66</v>
      </c>
      <c r="AF21" s="43">
        <v>220</v>
      </c>
      <c r="AG21" s="43">
        <v>275</v>
      </c>
      <c r="AH21" s="43">
        <v>139</v>
      </c>
      <c r="AI21" s="43"/>
      <c r="AJ21" s="43">
        <v>68</v>
      </c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6.5" customHeight="1" x14ac:dyDescent="0.3">
      <c r="A23" s="88" t="s">
        <v>4</v>
      </c>
      <c r="B23" s="89"/>
      <c r="C23" s="90"/>
      <c r="D23" s="39">
        <f t="shared" si="0"/>
        <v>380502</v>
      </c>
      <c r="E23" s="46">
        <f t="shared" ref="E23:AJ38" si="1">SUM(E6:E22)</f>
        <v>14998</v>
      </c>
      <c r="F23" s="46">
        <f t="shared" si="1"/>
        <v>5899</v>
      </c>
      <c r="G23" s="46">
        <f t="shared" si="1"/>
        <v>6376</v>
      </c>
      <c r="H23" s="46">
        <f t="shared" si="1"/>
        <v>9690</v>
      </c>
      <c r="I23" s="46">
        <f t="shared" si="1"/>
        <v>6258</v>
      </c>
      <c r="J23" s="46">
        <f t="shared" si="1"/>
        <v>6561</v>
      </c>
      <c r="K23" s="46">
        <f t="shared" si="1"/>
        <v>9388</v>
      </c>
      <c r="L23" s="46">
        <f t="shared" si="1"/>
        <v>18999</v>
      </c>
      <c r="M23" s="46">
        <f t="shared" si="1"/>
        <v>5913</v>
      </c>
      <c r="N23" s="46">
        <f t="shared" si="1"/>
        <v>5103</v>
      </c>
      <c r="O23" s="46">
        <f t="shared" si="1"/>
        <v>5712</v>
      </c>
      <c r="P23" s="46">
        <f t="shared" si="1"/>
        <v>6814</v>
      </c>
      <c r="Q23" s="46">
        <f t="shared" si="1"/>
        <v>9221</v>
      </c>
      <c r="R23" s="46">
        <f t="shared" si="1"/>
        <v>8590</v>
      </c>
      <c r="S23" s="46">
        <f t="shared" si="1"/>
        <v>8323</v>
      </c>
      <c r="T23" s="46">
        <f t="shared" si="1"/>
        <v>11644</v>
      </c>
      <c r="U23" s="46">
        <f t="shared" si="1"/>
        <v>15594</v>
      </c>
      <c r="V23" s="46">
        <f t="shared" si="1"/>
        <v>14990</v>
      </c>
      <c r="W23" s="46">
        <f t="shared" si="1"/>
        <v>9535</v>
      </c>
      <c r="X23" s="46">
        <f t="shared" si="1"/>
        <v>16924</v>
      </c>
      <c r="Y23" s="46">
        <f t="shared" si="1"/>
        <v>22474</v>
      </c>
      <c r="Z23" s="46">
        <f t="shared" si="1"/>
        <v>21019</v>
      </c>
      <c r="AA23" s="46">
        <f t="shared" si="1"/>
        <v>13321</v>
      </c>
      <c r="AB23" s="46">
        <f t="shared" si="1"/>
        <v>16416</v>
      </c>
      <c r="AC23" s="46">
        <f t="shared" si="1"/>
        <v>16914</v>
      </c>
      <c r="AD23" s="46">
        <f t="shared" si="1"/>
        <v>15579</v>
      </c>
      <c r="AE23" s="46">
        <f t="shared" si="1"/>
        <v>14046</v>
      </c>
      <c r="AF23" s="46">
        <f t="shared" si="1"/>
        <v>20648</v>
      </c>
      <c r="AG23" s="46">
        <f t="shared" si="1"/>
        <v>27014</v>
      </c>
      <c r="AH23" s="46">
        <f t="shared" si="1"/>
        <v>16539</v>
      </c>
      <c r="AI23" s="46">
        <f t="shared" si="1"/>
        <v>0</v>
      </c>
      <c r="AJ23" s="46">
        <f t="shared" si="1"/>
        <v>14473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12752</v>
      </c>
      <c r="E24" s="41"/>
      <c r="F24" s="41"/>
      <c r="G24" s="46">
        <f t="shared" si="1"/>
        <v>12752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23879</v>
      </c>
      <c r="E25" s="41"/>
      <c r="F25" s="41"/>
      <c r="G25" s="46">
        <f t="shared" si="1"/>
        <v>23879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46188</v>
      </c>
      <c r="E26" s="41"/>
      <c r="F26" s="41"/>
      <c r="G26" s="46">
        <f t="shared" si="1"/>
        <v>46188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91206</v>
      </c>
      <c r="E27" s="41"/>
      <c r="F27" s="41"/>
      <c r="G27" s="46">
        <f t="shared" si="1"/>
        <v>91206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182412</v>
      </c>
      <c r="E28" s="41"/>
      <c r="F28" s="41"/>
      <c r="G28" s="46">
        <f t="shared" si="1"/>
        <v>182412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364824</v>
      </c>
      <c r="E29" s="41"/>
      <c r="F29" s="41"/>
      <c r="G29" s="46">
        <f t="shared" si="1"/>
        <v>364824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729648</v>
      </c>
      <c r="E30" s="41"/>
      <c r="F30" s="41"/>
      <c r="G30" s="46">
        <f t="shared" si="1"/>
        <v>729648</v>
      </c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1459296</v>
      </c>
      <c r="E31" s="41"/>
      <c r="F31" s="41"/>
      <c r="G31" s="46">
        <f t="shared" si="1"/>
        <v>1459296</v>
      </c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2918592</v>
      </c>
      <c r="E32" s="41"/>
      <c r="F32" s="41"/>
      <c r="G32" s="46">
        <f t="shared" si="1"/>
        <v>2918592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5837184</v>
      </c>
      <c r="E33" s="41"/>
      <c r="F33" s="41"/>
      <c r="G33" s="46">
        <f t="shared" si="1"/>
        <v>5837184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11674368</v>
      </c>
      <c r="E34" s="41"/>
      <c r="F34" s="41"/>
      <c r="G34" s="46">
        <f t="shared" si="1"/>
        <v>11674368</v>
      </c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23348736</v>
      </c>
      <c r="E35" s="41"/>
      <c r="F35" s="41"/>
      <c r="G35" s="46">
        <f t="shared" si="1"/>
        <v>23348736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46695682</v>
      </c>
      <c r="E36" s="41"/>
      <c r="F36" s="41"/>
      <c r="G36" s="46">
        <f t="shared" si="1"/>
        <v>46695682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93391364</v>
      </c>
      <c r="E37" s="41"/>
      <c r="F37" s="41"/>
      <c r="G37" s="46">
        <f t="shared" si="1"/>
        <v>93391364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186782544</v>
      </c>
      <c r="E38" s="41"/>
      <c r="F38" s="41"/>
      <c r="G38" s="46">
        <f t="shared" si="1"/>
        <v>186782544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373565051</v>
      </c>
      <c r="E39" s="41"/>
      <c r="F39" s="41"/>
      <c r="G39" s="46">
        <f t="shared" ref="G39:G45" si="3">SUM(G22:G38)</f>
        <v>373565051</v>
      </c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747130102</v>
      </c>
      <c r="E40" s="41"/>
      <c r="F40" s="41"/>
      <c r="G40" s="46">
        <f t="shared" si="3"/>
        <v>747130102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1494253828</v>
      </c>
      <c r="E41" s="41"/>
      <c r="F41" s="41"/>
      <c r="G41" s="46">
        <f t="shared" si="3"/>
        <v>1494253828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2988494904</v>
      </c>
      <c r="E42" s="41"/>
      <c r="F42" s="41"/>
      <c r="G42" s="46">
        <f t="shared" si="3"/>
        <v>2988494904</v>
      </c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5976965929</v>
      </c>
      <c r="E43" s="41"/>
      <c r="F43" s="41"/>
      <c r="G43" s="46">
        <f t="shared" si="3"/>
        <v>5976965929</v>
      </c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11953885670</v>
      </c>
      <c r="E44" s="41"/>
      <c r="F44" s="41"/>
      <c r="G44" s="46">
        <f t="shared" si="3"/>
        <v>11953885670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23907680134</v>
      </c>
      <c r="E45" s="41"/>
      <c r="F45" s="41"/>
      <c r="G45" s="46">
        <f t="shared" si="3"/>
        <v>23907680134</v>
      </c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1"/>
      <c r="F46" s="41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3">
      <c r="A47" s="95"/>
      <c r="B47" s="95"/>
      <c r="C47" s="47" t="s">
        <v>15</v>
      </c>
      <c r="D47" s="39">
        <f>SUM(E47:AH47)</f>
        <v>98613</v>
      </c>
      <c r="E47" s="41">
        <f>1601+1760</f>
        <v>3361</v>
      </c>
      <c r="F47" s="41">
        <f>940+1370</f>
        <v>2310</v>
      </c>
      <c r="G47" s="41">
        <f>1050+1255</f>
        <v>2305</v>
      </c>
      <c r="H47" s="41">
        <f>1690+940</f>
        <v>2630</v>
      </c>
      <c r="I47" s="41">
        <f>1301+960</f>
        <v>2261</v>
      </c>
      <c r="J47" s="41">
        <f>1450+940</f>
        <v>2390</v>
      </c>
      <c r="K47" s="41">
        <f>1350+1755</f>
        <v>3105</v>
      </c>
      <c r="L47" s="41">
        <f>1240+2590</f>
        <v>3830</v>
      </c>
      <c r="M47" s="41">
        <f>1301+1020</f>
        <v>2321</v>
      </c>
      <c r="N47" s="41">
        <f>880+1200</f>
        <v>2080</v>
      </c>
      <c r="O47" s="41">
        <f>1200+739</f>
        <v>1939</v>
      </c>
      <c r="P47" s="41">
        <f>1140+1590</f>
        <v>2730</v>
      </c>
      <c r="Q47" s="41">
        <f>1020+1301</f>
        <v>2321</v>
      </c>
      <c r="R47" s="43">
        <f>1650+880</f>
        <v>2530</v>
      </c>
      <c r="S47" s="43">
        <f>1300+739</f>
        <v>2039</v>
      </c>
      <c r="T47" s="43">
        <v>4135</v>
      </c>
      <c r="U47" s="43">
        <v>3221</v>
      </c>
      <c r="V47" s="43">
        <v>3030</v>
      </c>
      <c r="W47" s="43">
        <v>3033</v>
      </c>
      <c r="X47" s="43">
        <v>5561</v>
      </c>
      <c r="Y47" s="43">
        <v>3821</v>
      </c>
      <c r="Z47" s="43">
        <v>3430</v>
      </c>
      <c r="AA47" s="43">
        <v>3991</v>
      </c>
      <c r="AB47" s="43">
        <v>5426</v>
      </c>
      <c r="AC47" s="43">
        <v>3921</v>
      </c>
      <c r="AD47" s="43">
        <v>3080</v>
      </c>
      <c r="AE47" s="43">
        <v>4079</v>
      </c>
      <c r="AF47" s="43">
        <v>6432</v>
      </c>
      <c r="AG47" s="43">
        <v>4221</v>
      </c>
      <c r="AH47" s="43">
        <v>3080</v>
      </c>
      <c r="AI47" s="43"/>
      <c r="AJ47" s="43">
        <v>3855</v>
      </c>
    </row>
    <row r="48" spans="1:36" ht="16.5" customHeight="1" x14ac:dyDescent="0.3">
      <c r="A48" s="88" t="s">
        <v>4</v>
      </c>
      <c r="B48" s="89"/>
      <c r="C48" s="90"/>
      <c r="D48" s="39">
        <f>SUM(E48:AH48)</f>
        <v>98613</v>
      </c>
      <c r="E48" s="50">
        <f t="shared" ref="E48:AJ48" si="4">SUM(E46:E47)</f>
        <v>3361</v>
      </c>
      <c r="F48" s="50">
        <f t="shared" si="4"/>
        <v>2310</v>
      </c>
      <c r="G48" s="50">
        <f t="shared" si="4"/>
        <v>2305</v>
      </c>
      <c r="H48" s="50">
        <f t="shared" si="4"/>
        <v>2630</v>
      </c>
      <c r="I48" s="50">
        <f t="shared" si="4"/>
        <v>2261</v>
      </c>
      <c r="J48" s="50">
        <f t="shared" si="4"/>
        <v>2390</v>
      </c>
      <c r="K48" s="50">
        <f t="shared" si="4"/>
        <v>3105</v>
      </c>
      <c r="L48" s="50">
        <f t="shared" si="4"/>
        <v>3830</v>
      </c>
      <c r="M48" s="50">
        <f t="shared" si="4"/>
        <v>2321</v>
      </c>
      <c r="N48" s="50">
        <f t="shared" si="4"/>
        <v>2080</v>
      </c>
      <c r="O48" s="50">
        <f t="shared" si="4"/>
        <v>1939</v>
      </c>
      <c r="P48" s="50">
        <f t="shared" si="4"/>
        <v>2730</v>
      </c>
      <c r="Q48" s="50">
        <f t="shared" si="4"/>
        <v>2321</v>
      </c>
      <c r="R48" s="50">
        <f t="shared" si="4"/>
        <v>2530</v>
      </c>
      <c r="S48" s="50">
        <f t="shared" si="4"/>
        <v>2039</v>
      </c>
      <c r="T48" s="50">
        <f t="shared" si="4"/>
        <v>4135</v>
      </c>
      <c r="U48" s="50">
        <f t="shared" si="4"/>
        <v>3221</v>
      </c>
      <c r="V48" s="50">
        <f t="shared" si="4"/>
        <v>3030</v>
      </c>
      <c r="W48" s="50">
        <f t="shared" si="4"/>
        <v>3033</v>
      </c>
      <c r="X48" s="50">
        <f t="shared" si="4"/>
        <v>5561</v>
      </c>
      <c r="Y48" s="50">
        <f t="shared" si="4"/>
        <v>3821</v>
      </c>
      <c r="Z48" s="50">
        <f t="shared" si="4"/>
        <v>3430</v>
      </c>
      <c r="AA48" s="50">
        <f t="shared" si="4"/>
        <v>3991</v>
      </c>
      <c r="AB48" s="50">
        <f t="shared" si="4"/>
        <v>5426</v>
      </c>
      <c r="AC48" s="50">
        <f t="shared" si="4"/>
        <v>3921</v>
      </c>
      <c r="AD48" s="50">
        <f t="shared" si="4"/>
        <v>3080</v>
      </c>
      <c r="AE48" s="50">
        <f t="shared" si="4"/>
        <v>4079</v>
      </c>
      <c r="AF48" s="50">
        <f t="shared" si="4"/>
        <v>6432</v>
      </c>
      <c r="AG48" s="50">
        <f t="shared" si="4"/>
        <v>4221</v>
      </c>
      <c r="AH48" s="50">
        <f t="shared" si="4"/>
        <v>3080</v>
      </c>
      <c r="AI48" s="50">
        <f t="shared" si="4"/>
        <v>0</v>
      </c>
      <c r="AJ48" s="50">
        <f t="shared" si="4"/>
        <v>3855</v>
      </c>
    </row>
    <row r="49" spans="1:36" ht="16.5" customHeight="1" x14ac:dyDescent="0.3">
      <c r="A49" s="100" t="s">
        <v>5</v>
      </c>
      <c r="B49" s="101"/>
      <c r="C49" s="102"/>
      <c r="D49" s="51">
        <f>SUM(E49:AH49)</f>
        <v>479115</v>
      </c>
      <c r="E49" s="52">
        <f t="shared" ref="E49:AJ49" si="5">SUM(E23,E48)</f>
        <v>18359</v>
      </c>
      <c r="F49" s="52">
        <f t="shared" si="5"/>
        <v>8209</v>
      </c>
      <c r="G49" s="52">
        <f t="shared" si="5"/>
        <v>8681</v>
      </c>
      <c r="H49" s="52">
        <f t="shared" si="5"/>
        <v>12320</v>
      </c>
      <c r="I49" s="52">
        <f t="shared" si="5"/>
        <v>8519</v>
      </c>
      <c r="J49" s="52">
        <f t="shared" si="5"/>
        <v>8951</v>
      </c>
      <c r="K49" s="52">
        <f t="shared" si="5"/>
        <v>12493</v>
      </c>
      <c r="L49" s="52">
        <f t="shared" si="5"/>
        <v>22829</v>
      </c>
      <c r="M49" s="52">
        <f t="shared" si="5"/>
        <v>8234</v>
      </c>
      <c r="N49" s="52">
        <f t="shared" si="5"/>
        <v>7183</v>
      </c>
      <c r="O49" s="52">
        <f t="shared" si="5"/>
        <v>7651</v>
      </c>
      <c r="P49" s="52">
        <f t="shared" si="5"/>
        <v>9544</v>
      </c>
      <c r="Q49" s="52">
        <f t="shared" si="5"/>
        <v>11542</v>
      </c>
      <c r="R49" s="52">
        <f t="shared" si="5"/>
        <v>11120</v>
      </c>
      <c r="S49" s="52">
        <f t="shared" si="5"/>
        <v>10362</v>
      </c>
      <c r="T49" s="52">
        <f t="shared" si="5"/>
        <v>15779</v>
      </c>
      <c r="U49" s="52">
        <f t="shared" si="5"/>
        <v>18815</v>
      </c>
      <c r="V49" s="52">
        <f t="shared" si="5"/>
        <v>18020</v>
      </c>
      <c r="W49" s="52">
        <f t="shared" si="5"/>
        <v>12568</v>
      </c>
      <c r="X49" s="52">
        <f t="shared" si="5"/>
        <v>22485</v>
      </c>
      <c r="Y49" s="52">
        <f t="shared" si="5"/>
        <v>26295</v>
      </c>
      <c r="Z49" s="52">
        <f t="shared" si="5"/>
        <v>24449</v>
      </c>
      <c r="AA49" s="52">
        <f t="shared" si="5"/>
        <v>17312</v>
      </c>
      <c r="AB49" s="52">
        <f t="shared" si="5"/>
        <v>21842</v>
      </c>
      <c r="AC49" s="52">
        <f t="shared" si="5"/>
        <v>20835</v>
      </c>
      <c r="AD49" s="52">
        <f t="shared" si="5"/>
        <v>18659</v>
      </c>
      <c r="AE49" s="52">
        <f t="shared" si="5"/>
        <v>18125</v>
      </c>
      <c r="AF49" s="52">
        <f t="shared" si="5"/>
        <v>27080</v>
      </c>
      <c r="AG49" s="52">
        <f t="shared" si="5"/>
        <v>31235</v>
      </c>
      <c r="AH49" s="52">
        <f t="shared" si="5"/>
        <v>19619</v>
      </c>
      <c r="AI49" s="52">
        <f t="shared" si="5"/>
        <v>0</v>
      </c>
      <c r="AJ49" s="52">
        <f t="shared" si="5"/>
        <v>18328</v>
      </c>
    </row>
    <row r="50" spans="1:36" x14ac:dyDescent="0.3"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</row>
    <row r="51" spans="1:36" x14ac:dyDescent="0.3">
      <c r="D51" s="67" t="s">
        <v>96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AC62" sqref="AC62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114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56</v>
      </c>
      <c r="F4" s="36" t="s">
        <v>79</v>
      </c>
      <c r="G4" s="36" t="s">
        <v>80</v>
      </c>
      <c r="H4" s="36" t="s">
        <v>81</v>
      </c>
      <c r="I4" s="36" t="s">
        <v>75</v>
      </c>
      <c r="J4" s="36" t="s">
        <v>76</v>
      </c>
      <c r="K4" s="36" t="s">
        <v>77</v>
      </c>
      <c r="L4" s="36" t="s">
        <v>78</v>
      </c>
      <c r="M4" s="36" t="s">
        <v>79</v>
      </c>
      <c r="N4" s="36" t="s">
        <v>80</v>
      </c>
      <c r="O4" s="36" t="s">
        <v>81</v>
      </c>
      <c r="P4" s="36" t="s">
        <v>75</v>
      </c>
      <c r="Q4" s="36" t="s">
        <v>76</v>
      </c>
      <c r="R4" s="36" t="s">
        <v>77</v>
      </c>
      <c r="S4" s="36" t="s">
        <v>78</v>
      </c>
      <c r="T4" s="36" t="s">
        <v>79</v>
      </c>
      <c r="U4" s="36" t="s">
        <v>80</v>
      </c>
      <c r="V4" s="36" t="s">
        <v>81</v>
      </c>
      <c r="W4" s="36" t="s">
        <v>75</v>
      </c>
      <c r="X4" s="36" t="s">
        <v>76</v>
      </c>
      <c r="Y4" s="36" t="s">
        <v>77</v>
      </c>
      <c r="Z4" s="36" t="s">
        <v>78</v>
      </c>
      <c r="AA4" s="36" t="s">
        <v>79</v>
      </c>
      <c r="AB4" s="36" t="s">
        <v>80</v>
      </c>
      <c r="AC4" s="36" t="s">
        <v>81</v>
      </c>
      <c r="AD4" s="36" t="s">
        <v>75</v>
      </c>
      <c r="AE4" s="36" t="s">
        <v>76</v>
      </c>
      <c r="AF4" s="36" t="s">
        <v>77</v>
      </c>
      <c r="AG4" s="36" t="s">
        <v>78</v>
      </c>
      <c r="AH4" s="36" t="s">
        <v>79</v>
      </c>
      <c r="AI4" s="36" t="s">
        <v>80</v>
      </c>
      <c r="AJ4" s="36" t="s">
        <v>81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65</v>
      </c>
      <c r="F5" s="38" t="s">
        <v>65</v>
      </c>
      <c r="G5" s="38" t="s">
        <v>65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  <c r="T5" s="38" t="s">
        <v>65</v>
      </c>
      <c r="U5" s="38" t="s">
        <v>98</v>
      </c>
      <c r="V5" s="38" t="s">
        <v>65</v>
      </c>
      <c r="W5" s="38" t="s">
        <v>94</v>
      </c>
      <c r="X5" s="38" t="s">
        <v>95</v>
      </c>
      <c r="Y5" s="38" t="s">
        <v>65</v>
      </c>
      <c r="Z5" s="38" t="s">
        <v>65</v>
      </c>
      <c r="AA5" s="38" t="s">
        <v>65</v>
      </c>
      <c r="AB5" s="38" t="s">
        <v>65</v>
      </c>
      <c r="AC5" s="38" t="s">
        <v>65</v>
      </c>
      <c r="AD5" s="38" t="s">
        <v>65</v>
      </c>
      <c r="AE5" s="38" t="s">
        <v>65</v>
      </c>
      <c r="AF5" s="38" t="s">
        <v>65</v>
      </c>
      <c r="AG5" s="38" t="s">
        <v>65</v>
      </c>
      <c r="AH5" s="38" t="s">
        <v>65</v>
      </c>
      <c r="AI5" s="53"/>
      <c r="AJ5" s="38"/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0</v>
      </c>
      <c r="E6" s="40">
        <v>0</v>
      </c>
      <c r="F6" s="40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2">
        <v>0</v>
      </c>
      <c r="P6" s="41">
        <v>0</v>
      </c>
      <c r="Q6" s="41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4">
        <v>0</v>
      </c>
      <c r="AI6" s="43"/>
      <c r="AJ6" s="44"/>
    </row>
    <row r="7" spans="1:36" ht="16.5" customHeight="1" x14ac:dyDescent="0.3">
      <c r="A7" s="94"/>
      <c r="B7" s="98" t="s">
        <v>23</v>
      </c>
      <c r="C7" s="99"/>
      <c r="D7" s="39">
        <f t="shared" si="0"/>
        <v>143345</v>
      </c>
      <c r="E7" s="40">
        <v>3190</v>
      </c>
      <c r="F7" s="40">
        <v>4805</v>
      </c>
      <c r="G7" s="41">
        <f>5580+3050</f>
        <v>8630</v>
      </c>
      <c r="H7" s="41">
        <v>5905</v>
      </c>
      <c r="I7" s="41">
        <v>3190</v>
      </c>
      <c r="J7" s="41">
        <v>4535</v>
      </c>
      <c r="K7" s="41">
        <f>5460+2750</f>
        <v>8210</v>
      </c>
      <c r="L7" s="41">
        <v>3010</v>
      </c>
      <c r="M7" s="41">
        <v>3190</v>
      </c>
      <c r="N7" s="41">
        <v>4740</v>
      </c>
      <c r="O7" s="41">
        <f>5460+4100</f>
        <v>9560</v>
      </c>
      <c r="P7" s="41">
        <f>4160</f>
        <v>4160</v>
      </c>
      <c r="Q7" s="41">
        <v>3190</v>
      </c>
      <c r="R7" s="43">
        <v>4205</v>
      </c>
      <c r="S7" s="43">
        <f>6550+4300</f>
        <v>10850</v>
      </c>
      <c r="T7" s="43">
        <v>3600</v>
      </c>
      <c r="U7" s="43">
        <v>1790</v>
      </c>
      <c r="V7" s="43">
        <v>5005</v>
      </c>
      <c r="W7" s="43">
        <v>5350</v>
      </c>
      <c r="X7" s="43">
        <v>1950</v>
      </c>
      <c r="Y7" s="43">
        <v>2390</v>
      </c>
      <c r="Z7" s="43">
        <v>2205</v>
      </c>
      <c r="AA7" s="43">
        <v>8950</v>
      </c>
      <c r="AB7" s="43">
        <v>2500</v>
      </c>
      <c r="AC7" s="43">
        <v>3190</v>
      </c>
      <c r="AD7" s="43">
        <v>8405</v>
      </c>
      <c r="AE7" s="43">
        <v>2900</v>
      </c>
      <c r="AF7" s="43">
        <v>2745</v>
      </c>
      <c r="AG7" s="43">
        <v>2890</v>
      </c>
      <c r="AH7" s="43">
        <v>8105</v>
      </c>
      <c r="AI7" s="43"/>
      <c r="AJ7" s="43"/>
    </row>
    <row r="8" spans="1:36" ht="16.5" customHeight="1" x14ac:dyDescent="0.3">
      <c r="A8" s="94"/>
      <c r="B8" s="98" t="s">
        <v>25</v>
      </c>
      <c r="C8" s="99"/>
      <c r="D8" s="39">
        <f t="shared" si="0"/>
        <v>75496</v>
      </c>
      <c r="E8" s="40">
        <v>1950</v>
      </c>
      <c r="F8" s="40">
        <v>2799</v>
      </c>
      <c r="G8" s="41">
        <f>0</f>
        <v>0</v>
      </c>
      <c r="H8" s="41">
        <v>1350</v>
      </c>
      <c r="I8" s="41">
        <v>3950</v>
      </c>
      <c r="J8" s="41">
        <v>2899</v>
      </c>
      <c r="K8" s="41">
        <f>0</f>
        <v>0</v>
      </c>
      <c r="L8" s="41">
        <v>3700</v>
      </c>
      <c r="M8" s="41">
        <v>3600</v>
      </c>
      <c r="N8" s="41">
        <v>2899</v>
      </c>
      <c r="O8" s="41">
        <f>0</f>
        <v>0</v>
      </c>
      <c r="P8" s="41">
        <v>4000</v>
      </c>
      <c r="Q8" s="41">
        <f>3630+0</f>
        <v>3630</v>
      </c>
      <c r="R8" s="43">
        <v>2899</v>
      </c>
      <c r="S8" s="43">
        <v>0</v>
      </c>
      <c r="T8" s="43">
        <v>3450</v>
      </c>
      <c r="U8" s="43">
        <v>1600</v>
      </c>
      <c r="V8" s="43">
        <v>3999</v>
      </c>
      <c r="W8" s="43">
        <v>0</v>
      </c>
      <c r="X8" s="43">
        <v>3250</v>
      </c>
      <c r="Y8" s="43">
        <v>1665</v>
      </c>
      <c r="Z8" s="43">
        <v>2199</v>
      </c>
      <c r="AA8" s="43">
        <v>0</v>
      </c>
      <c r="AB8" s="43">
        <v>3600</v>
      </c>
      <c r="AC8" s="43">
        <v>3625</v>
      </c>
      <c r="AD8" s="43">
        <v>3999</v>
      </c>
      <c r="AE8" s="43">
        <v>3999</v>
      </c>
      <c r="AF8" s="43">
        <v>3250</v>
      </c>
      <c r="AG8" s="43">
        <v>3185</v>
      </c>
      <c r="AH8" s="43">
        <v>3999</v>
      </c>
      <c r="AI8" s="43"/>
      <c r="AJ8" s="43"/>
    </row>
    <row r="9" spans="1:36" ht="16.5" customHeight="1" x14ac:dyDescent="0.3">
      <c r="A9" s="94"/>
      <c r="B9" s="98" t="s">
        <v>29</v>
      </c>
      <c r="C9" s="99"/>
      <c r="D9" s="39">
        <f t="shared" si="0"/>
        <v>86155</v>
      </c>
      <c r="E9" s="40">
        <f>1455+2150</f>
        <v>3605</v>
      </c>
      <c r="F9" s="40">
        <f>1800+1250</f>
        <v>3050</v>
      </c>
      <c r="G9" s="41">
        <f>610+1450</f>
        <v>2060</v>
      </c>
      <c r="H9" s="41">
        <f>1630+1720</f>
        <v>3350</v>
      </c>
      <c r="I9" s="41">
        <f>1815+2740</f>
        <v>4555</v>
      </c>
      <c r="J9" s="41">
        <f>1800+1250</f>
        <v>3050</v>
      </c>
      <c r="K9" s="41">
        <f>610+1400</f>
        <v>2010</v>
      </c>
      <c r="L9" s="41">
        <f>1280+1200</f>
        <v>2480</v>
      </c>
      <c r="M9" s="41">
        <f>2100+1590</f>
        <v>3690</v>
      </c>
      <c r="N9" s="41">
        <f>1800+1250</f>
        <v>3050</v>
      </c>
      <c r="O9" s="41">
        <f>1750+610</f>
        <v>2360</v>
      </c>
      <c r="P9" s="41">
        <f>1200+1420</f>
        <v>2620</v>
      </c>
      <c r="Q9" s="41">
        <f>2740+1655</f>
        <v>4395</v>
      </c>
      <c r="R9" s="43">
        <f>1800+1250</f>
        <v>3050</v>
      </c>
      <c r="S9" s="43">
        <f>910+1650</f>
        <v>2560</v>
      </c>
      <c r="T9" s="43">
        <v>2370</v>
      </c>
      <c r="U9" s="43">
        <v>1455</v>
      </c>
      <c r="V9" s="43">
        <v>3570</v>
      </c>
      <c r="W9" s="43">
        <v>1800</v>
      </c>
      <c r="X9" s="43">
        <v>1770</v>
      </c>
      <c r="Y9" s="43">
        <v>2115</v>
      </c>
      <c r="Z9" s="43">
        <v>2750</v>
      </c>
      <c r="AA9" s="43">
        <v>1850</v>
      </c>
      <c r="AB9" s="43">
        <v>2210</v>
      </c>
      <c r="AC9" s="43">
        <v>4250</v>
      </c>
      <c r="AD9" s="43">
        <v>3570</v>
      </c>
      <c r="AE9" s="43">
        <v>3670</v>
      </c>
      <c r="AF9" s="43">
        <v>2360</v>
      </c>
      <c r="AG9" s="43">
        <v>2960</v>
      </c>
      <c r="AH9" s="43">
        <v>3570</v>
      </c>
      <c r="AI9" s="43"/>
      <c r="AJ9" s="43"/>
    </row>
    <row r="10" spans="1:36" ht="16.5" customHeight="1" x14ac:dyDescent="0.3">
      <c r="A10" s="94"/>
      <c r="B10" s="96" t="s">
        <v>92</v>
      </c>
      <c r="C10" s="97"/>
      <c r="D10" s="39">
        <f t="shared" si="0"/>
        <v>0</v>
      </c>
      <c r="E10" s="40"/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0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0"/>
      <c r="F12" s="4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0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0"/>
      <c r="F14" s="4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0"/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0"/>
      <c r="F16" s="40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0"/>
      <c r="F17" s="40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6.5" customHeight="1" x14ac:dyDescent="0.3">
      <c r="A18" s="94"/>
      <c r="B18" s="98" t="s">
        <v>1</v>
      </c>
      <c r="C18" s="99"/>
      <c r="D18" s="39">
        <f t="shared" si="0"/>
        <v>149865</v>
      </c>
      <c r="E18" s="40">
        <f>2005+2750</f>
        <v>4755</v>
      </c>
      <c r="F18" s="40">
        <f>3050+2510</f>
        <v>5560</v>
      </c>
      <c r="G18" s="41">
        <f>1540+3350</f>
        <v>4890</v>
      </c>
      <c r="H18" s="41">
        <f>3530+1555</f>
        <v>5085</v>
      </c>
      <c r="I18" s="41">
        <f>2005+3250</f>
        <v>5255</v>
      </c>
      <c r="J18" s="41">
        <f>3150+2380</f>
        <v>5530</v>
      </c>
      <c r="K18" s="41">
        <f>1520+3250</f>
        <v>4770</v>
      </c>
      <c r="L18" s="41">
        <f>3030+1555</f>
        <v>4585</v>
      </c>
      <c r="M18" s="41">
        <f>2650+2015</f>
        <v>4665</v>
      </c>
      <c r="N18" s="41">
        <f>3150+2680</f>
        <v>5830</v>
      </c>
      <c r="O18" s="41">
        <f>1960+3650</f>
        <v>5610</v>
      </c>
      <c r="P18" s="41">
        <f>3330+2520</f>
        <v>5850</v>
      </c>
      <c r="Q18" s="41">
        <f>2750+1445</f>
        <v>4195</v>
      </c>
      <c r="R18" s="43">
        <f>3150+2380</f>
        <v>5530</v>
      </c>
      <c r="S18" s="43">
        <f>3800+2210</f>
        <v>6010</v>
      </c>
      <c r="T18" s="43">
        <v>5030</v>
      </c>
      <c r="U18" s="43">
        <v>2170</v>
      </c>
      <c r="V18" s="43">
        <v>6330</v>
      </c>
      <c r="W18" s="43">
        <v>3810</v>
      </c>
      <c r="X18" s="43">
        <v>3790</v>
      </c>
      <c r="Y18" s="43">
        <v>2700</v>
      </c>
      <c r="Z18" s="43">
        <v>4130</v>
      </c>
      <c r="AA18" s="43">
        <v>3400</v>
      </c>
      <c r="AB18" s="43">
        <v>3985</v>
      </c>
      <c r="AC18" s="43">
        <v>4850</v>
      </c>
      <c r="AD18" s="43">
        <v>8230</v>
      </c>
      <c r="AE18" s="43">
        <v>6650</v>
      </c>
      <c r="AF18" s="43">
        <v>4640</v>
      </c>
      <c r="AG18" s="43">
        <v>3710</v>
      </c>
      <c r="AH18" s="43">
        <v>8320</v>
      </c>
      <c r="AI18" s="43"/>
      <c r="AJ18" s="43"/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0"/>
      <c r="F19" s="40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6.5" customHeight="1" x14ac:dyDescent="0.3">
      <c r="A20" s="94"/>
      <c r="B20" s="98" t="s">
        <v>16</v>
      </c>
      <c r="C20" s="99"/>
      <c r="D20" s="39">
        <f t="shared" si="0"/>
        <v>18741</v>
      </c>
      <c r="E20" s="40">
        <f>1043+350</f>
        <v>1393</v>
      </c>
      <c r="F20" s="40">
        <f>325</f>
        <v>325</v>
      </c>
      <c r="G20" s="41">
        <f>280</f>
        <v>280</v>
      </c>
      <c r="H20" s="41">
        <f>230+285</f>
        <v>515</v>
      </c>
      <c r="I20" s="41">
        <f>1043+370</f>
        <v>1413</v>
      </c>
      <c r="J20" s="41">
        <f>355+0</f>
        <v>355</v>
      </c>
      <c r="K20" s="41">
        <f>280</f>
        <v>280</v>
      </c>
      <c r="L20" s="41">
        <f>285+280</f>
        <v>565</v>
      </c>
      <c r="M20" s="41">
        <f>1075+310</f>
        <v>1385</v>
      </c>
      <c r="N20" s="41">
        <f>355+0</f>
        <v>355</v>
      </c>
      <c r="O20" s="41">
        <f>360</f>
        <v>360</v>
      </c>
      <c r="P20" s="41">
        <f>350+285</f>
        <v>635</v>
      </c>
      <c r="Q20" s="41">
        <f>210+1025</f>
        <v>1235</v>
      </c>
      <c r="R20" s="43">
        <f>355+0</f>
        <v>355</v>
      </c>
      <c r="S20" s="43">
        <f>330+0</f>
        <v>330</v>
      </c>
      <c r="T20" s="43">
        <v>705</v>
      </c>
      <c r="U20" s="43">
        <v>795</v>
      </c>
      <c r="V20" s="43">
        <v>355</v>
      </c>
      <c r="W20" s="43">
        <v>310</v>
      </c>
      <c r="X20" s="43">
        <v>585</v>
      </c>
      <c r="Y20" s="43">
        <v>815</v>
      </c>
      <c r="Z20" s="43">
        <v>275</v>
      </c>
      <c r="AA20" s="43">
        <v>260</v>
      </c>
      <c r="AB20" s="43">
        <v>705</v>
      </c>
      <c r="AC20" s="43">
        <v>1290</v>
      </c>
      <c r="AD20" s="43">
        <v>355</v>
      </c>
      <c r="AE20" s="43">
        <v>515</v>
      </c>
      <c r="AF20" s="43">
        <v>605</v>
      </c>
      <c r="AG20" s="43">
        <v>1035</v>
      </c>
      <c r="AH20" s="43">
        <v>355</v>
      </c>
      <c r="AI20" s="43"/>
      <c r="AJ20" s="43"/>
    </row>
    <row r="21" spans="1:36" ht="16.5" customHeight="1" x14ac:dyDescent="0.3">
      <c r="A21" s="94"/>
      <c r="B21" s="98" t="s">
        <v>10</v>
      </c>
      <c r="C21" s="99"/>
      <c r="D21" s="39">
        <f t="shared" si="0"/>
        <v>5888</v>
      </c>
      <c r="E21" s="40">
        <f>220</f>
        <v>220</v>
      </c>
      <c r="F21" s="40">
        <f>250+25</f>
        <v>275</v>
      </c>
      <c r="G21" s="41">
        <f>39+100</f>
        <v>139</v>
      </c>
      <c r="H21" s="41">
        <f>90</f>
        <v>90</v>
      </c>
      <c r="I21" s="41">
        <f>220</f>
        <v>220</v>
      </c>
      <c r="J21" s="41">
        <f>250+25</f>
        <v>275</v>
      </c>
      <c r="K21" s="41">
        <f>39+100</f>
        <v>139</v>
      </c>
      <c r="L21" s="41">
        <f>110+0</f>
        <v>110</v>
      </c>
      <c r="M21" s="41">
        <f>220</f>
        <v>220</v>
      </c>
      <c r="N21" s="41">
        <f>250+25</f>
        <v>275</v>
      </c>
      <c r="O21" s="41">
        <f>160+39</f>
        <v>199</v>
      </c>
      <c r="P21" s="41">
        <f>150</f>
        <v>150</v>
      </c>
      <c r="Q21" s="41">
        <f>110</f>
        <v>110</v>
      </c>
      <c r="R21" s="43">
        <f>250+25</f>
        <v>275</v>
      </c>
      <c r="S21" s="43">
        <f>39+130</f>
        <v>169</v>
      </c>
      <c r="T21" s="43">
        <v>98</v>
      </c>
      <c r="U21" s="43">
        <v>220</v>
      </c>
      <c r="V21" s="43">
        <v>295</v>
      </c>
      <c r="W21" s="43">
        <v>137</v>
      </c>
      <c r="X21" s="43">
        <v>80</v>
      </c>
      <c r="Y21" s="43">
        <v>228</v>
      </c>
      <c r="Z21" s="43">
        <v>255</v>
      </c>
      <c r="AA21" s="43">
        <v>129</v>
      </c>
      <c r="AB21" s="43">
        <v>60</v>
      </c>
      <c r="AC21" s="43">
        <v>220</v>
      </c>
      <c r="AD21" s="43">
        <v>295</v>
      </c>
      <c r="AE21" s="43">
        <v>330</v>
      </c>
      <c r="AF21" s="43">
        <v>70</v>
      </c>
      <c r="AG21" s="43">
        <v>310</v>
      </c>
      <c r="AH21" s="43">
        <v>295</v>
      </c>
      <c r="AI21" s="43"/>
      <c r="AJ21" s="43"/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0"/>
      <c r="F22" s="40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6.5" customHeight="1" x14ac:dyDescent="0.3">
      <c r="A23" s="88" t="s">
        <v>4</v>
      </c>
      <c r="B23" s="89"/>
      <c r="C23" s="90"/>
      <c r="D23" s="39">
        <f t="shared" si="0"/>
        <v>479490</v>
      </c>
      <c r="E23" s="35">
        <f t="shared" ref="E23:AJ23" si="1">SUM(E6:E22)</f>
        <v>15113</v>
      </c>
      <c r="F23" s="35">
        <f t="shared" si="1"/>
        <v>16814</v>
      </c>
      <c r="G23" s="46">
        <f t="shared" si="1"/>
        <v>15999</v>
      </c>
      <c r="H23" s="46">
        <f t="shared" si="1"/>
        <v>16295</v>
      </c>
      <c r="I23" s="46">
        <f t="shared" si="1"/>
        <v>18583</v>
      </c>
      <c r="J23" s="46">
        <f t="shared" si="1"/>
        <v>16644</v>
      </c>
      <c r="K23" s="46">
        <f t="shared" si="1"/>
        <v>15409</v>
      </c>
      <c r="L23" s="46">
        <f t="shared" si="1"/>
        <v>14450</v>
      </c>
      <c r="M23" s="46">
        <f t="shared" si="1"/>
        <v>16750</v>
      </c>
      <c r="N23" s="46">
        <f t="shared" si="1"/>
        <v>17149</v>
      </c>
      <c r="O23" s="46">
        <f t="shared" si="1"/>
        <v>18089</v>
      </c>
      <c r="P23" s="46">
        <f t="shared" si="1"/>
        <v>17415</v>
      </c>
      <c r="Q23" s="46">
        <f t="shared" si="1"/>
        <v>16755</v>
      </c>
      <c r="R23" s="46">
        <f t="shared" si="1"/>
        <v>16314</v>
      </c>
      <c r="S23" s="46">
        <f t="shared" si="1"/>
        <v>19919</v>
      </c>
      <c r="T23" s="46">
        <f t="shared" si="1"/>
        <v>15253</v>
      </c>
      <c r="U23" s="46">
        <f t="shared" si="1"/>
        <v>8030</v>
      </c>
      <c r="V23" s="46">
        <f t="shared" si="1"/>
        <v>19554</v>
      </c>
      <c r="W23" s="46">
        <f t="shared" si="1"/>
        <v>11407</v>
      </c>
      <c r="X23" s="46">
        <f t="shared" si="1"/>
        <v>11425</v>
      </c>
      <c r="Y23" s="46">
        <f t="shared" si="1"/>
        <v>9913</v>
      </c>
      <c r="Z23" s="46">
        <f t="shared" si="1"/>
        <v>11814</v>
      </c>
      <c r="AA23" s="46">
        <f t="shared" si="1"/>
        <v>14589</v>
      </c>
      <c r="AB23" s="46">
        <f t="shared" si="1"/>
        <v>13060</v>
      </c>
      <c r="AC23" s="46">
        <f t="shared" si="1"/>
        <v>17425</v>
      </c>
      <c r="AD23" s="46">
        <f t="shared" si="1"/>
        <v>24854</v>
      </c>
      <c r="AE23" s="46">
        <f t="shared" si="1"/>
        <v>18064</v>
      </c>
      <c r="AF23" s="46">
        <f t="shared" si="1"/>
        <v>13670</v>
      </c>
      <c r="AG23" s="46">
        <f t="shared" si="1"/>
        <v>14090</v>
      </c>
      <c r="AH23" s="46">
        <f t="shared" si="1"/>
        <v>24644</v>
      </c>
      <c r="AI23" s="46">
        <f t="shared" si="1"/>
        <v>0</v>
      </c>
      <c r="AJ23" s="46">
        <f t="shared" si="1"/>
        <v>0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0"/>
      <c r="F24" s="40"/>
      <c r="G24" s="4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0"/>
      <c r="F25" s="40"/>
      <c r="G25" s="4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0"/>
      <c r="F26" s="40"/>
      <c r="G26" s="4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0"/>
      <c r="F27" s="40"/>
      <c r="G27" s="4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0"/>
      <c r="F28" s="40"/>
      <c r="G28" s="4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0"/>
      <c r="F29" s="40"/>
      <c r="G29" s="4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0"/>
      <c r="F30" s="40"/>
      <c r="G30" s="4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0"/>
      <c r="F31" s="40"/>
      <c r="G31" s="4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0"/>
      <c r="F32" s="40"/>
      <c r="G32" s="4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0"/>
      <c r="F33" s="40"/>
      <c r="G33" s="4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0"/>
      <c r="F34" s="40"/>
      <c r="G34" s="4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0"/>
      <c r="F35" s="40"/>
      <c r="G35" s="4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0"/>
      <c r="F36" s="40"/>
      <c r="G36" s="4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0"/>
      <c r="F37" s="40"/>
      <c r="G37" s="4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0"/>
      <c r="F38" s="40"/>
      <c r="G38" s="4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0"/>
      <c r="F39" s="40"/>
      <c r="G39" s="4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0"/>
      <c r="F40" s="40"/>
      <c r="G40" s="4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0"/>
      <c r="F41" s="40"/>
      <c r="G41" s="4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0"/>
      <c r="F42" s="40"/>
      <c r="G42" s="4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0"/>
      <c r="F43" s="40"/>
      <c r="G43" s="4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0"/>
      <c r="F44" s="40"/>
      <c r="G44" s="4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0"/>
      <c r="F45" s="40"/>
      <c r="G45" s="4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0"/>
      <c r="F46" s="40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3">
      <c r="A47" s="95"/>
      <c r="B47" s="95"/>
      <c r="C47" s="47" t="s">
        <v>15</v>
      </c>
      <c r="D47" s="39">
        <f>SUM(E47:AH47)</f>
        <v>127524</v>
      </c>
      <c r="E47" s="40">
        <f>2905+2890</f>
        <v>5795</v>
      </c>
      <c r="F47" s="40">
        <f>2501+1420</f>
        <v>3921</v>
      </c>
      <c r="G47" s="41">
        <f>880+2100</f>
        <v>2980</v>
      </c>
      <c r="H47" s="41">
        <f>2000+2155</f>
        <v>4155</v>
      </c>
      <c r="I47" s="41">
        <f>3035+2890</f>
        <v>5925</v>
      </c>
      <c r="J47" s="41">
        <f>2501+1420</f>
        <v>3921</v>
      </c>
      <c r="K47" s="41">
        <f>880+2050</f>
        <v>2930</v>
      </c>
      <c r="L47" s="41">
        <f>1700+2200</f>
        <v>3900</v>
      </c>
      <c r="M47" s="41">
        <f>2790+2430</f>
        <v>5220</v>
      </c>
      <c r="N47" s="41">
        <f>2501+1420</f>
        <v>3921</v>
      </c>
      <c r="O47" s="41">
        <f>880+2500</f>
        <v>3380</v>
      </c>
      <c r="P47" s="41">
        <f>2000+2200</f>
        <v>4200</v>
      </c>
      <c r="Q47" s="41">
        <f>2500+2890</f>
        <v>5390</v>
      </c>
      <c r="R47" s="43">
        <f>2501+1420</f>
        <v>3921</v>
      </c>
      <c r="S47" s="43">
        <f>1280+2500</f>
        <v>3780</v>
      </c>
      <c r="T47" s="43">
        <v>4000</v>
      </c>
      <c r="U47" s="43">
        <v>3780</v>
      </c>
      <c r="V47" s="43">
        <v>4421</v>
      </c>
      <c r="W47" s="43">
        <v>3180</v>
      </c>
      <c r="X47" s="43">
        <v>2630</v>
      </c>
      <c r="Y47" s="43">
        <v>7490</v>
      </c>
      <c r="Z47" s="43">
        <v>3181</v>
      </c>
      <c r="AA47" s="43">
        <v>3080</v>
      </c>
      <c r="AB47" s="43">
        <v>3650</v>
      </c>
      <c r="AC47" s="43">
        <v>5480</v>
      </c>
      <c r="AD47" s="43">
        <v>4401</v>
      </c>
      <c r="AE47" s="43">
        <v>5401</v>
      </c>
      <c r="AF47" s="43">
        <v>4120</v>
      </c>
      <c r="AG47" s="43">
        <v>4970</v>
      </c>
      <c r="AH47" s="43">
        <v>4401</v>
      </c>
      <c r="AI47" s="43"/>
      <c r="AJ47" s="43"/>
    </row>
    <row r="48" spans="1:36" ht="16.5" customHeight="1" x14ac:dyDescent="0.3">
      <c r="A48" s="88" t="s">
        <v>4</v>
      </c>
      <c r="B48" s="89"/>
      <c r="C48" s="90"/>
      <c r="D48" s="39">
        <f>SUM(E48:AH48)</f>
        <v>127524</v>
      </c>
      <c r="E48" s="49">
        <f t="shared" ref="E48:AJ48" si="3">SUM(E46:E47)</f>
        <v>5795</v>
      </c>
      <c r="F48" s="49">
        <f t="shared" si="3"/>
        <v>3921</v>
      </c>
      <c r="G48" s="50">
        <f t="shared" si="3"/>
        <v>2980</v>
      </c>
      <c r="H48" s="50">
        <f t="shared" si="3"/>
        <v>4155</v>
      </c>
      <c r="I48" s="50">
        <f t="shared" si="3"/>
        <v>5925</v>
      </c>
      <c r="J48" s="50">
        <f t="shared" si="3"/>
        <v>3921</v>
      </c>
      <c r="K48" s="50">
        <f t="shared" si="3"/>
        <v>2930</v>
      </c>
      <c r="L48" s="50">
        <f t="shared" si="3"/>
        <v>3900</v>
      </c>
      <c r="M48" s="50">
        <f t="shared" si="3"/>
        <v>5220</v>
      </c>
      <c r="N48" s="50">
        <f t="shared" si="3"/>
        <v>3921</v>
      </c>
      <c r="O48" s="50">
        <f t="shared" si="3"/>
        <v>3380</v>
      </c>
      <c r="P48" s="50">
        <f t="shared" si="3"/>
        <v>4200</v>
      </c>
      <c r="Q48" s="50">
        <f t="shared" si="3"/>
        <v>5390</v>
      </c>
      <c r="R48" s="50">
        <f t="shared" si="3"/>
        <v>3921</v>
      </c>
      <c r="S48" s="50">
        <f t="shared" si="3"/>
        <v>3780</v>
      </c>
      <c r="T48" s="50">
        <f t="shared" si="3"/>
        <v>4000</v>
      </c>
      <c r="U48" s="50">
        <f t="shared" si="3"/>
        <v>3780</v>
      </c>
      <c r="V48" s="50">
        <f t="shared" si="3"/>
        <v>4421</v>
      </c>
      <c r="W48" s="50">
        <f t="shared" si="3"/>
        <v>3180</v>
      </c>
      <c r="X48" s="50">
        <f t="shared" si="3"/>
        <v>2630</v>
      </c>
      <c r="Y48" s="50">
        <f t="shared" si="3"/>
        <v>7490</v>
      </c>
      <c r="Z48" s="50">
        <f t="shared" si="3"/>
        <v>3181</v>
      </c>
      <c r="AA48" s="50">
        <f t="shared" si="3"/>
        <v>3080</v>
      </c>
      <c r="AB48" s="50">
        <f t="shared" si="3"/>
        <v>3650</v>
      </c>
      <c r="AC48" s="50">
        <f t="shared" si="3"/>
        <v>5480</v>
      </c>
      <c r="AD48" s="50">
        <f t="shared" si="3"/>
        <v>4401</v>
      </c>
      <c r="AE48" s="50">
        <f t="shared" si="3"/>
        <v>5401</v>
      </c>
      <c r="AF48" s="50">
        <f t="shared" si="3"/>
        <v>4120</v>
      </c>
      <c r="AG48" s="50">
        <f t="shared" si="3"/>
        <v>4970</v>
      </c>
      <c r="AH48" s="50">
        <f t="shared" si="3"/>
        <v>4401</v>
      </c>
      <c r="AI48" s="50">
        <f t="shared" si="3"/>
        <v>0</v>
      </c>
      <c r="AJ48" s="50">
        <f t="shared" si="3"/>
        <v>0</v>
      </c>
    </row>
    <row r="49" spans="1:36" ht="16.5" customHeight="1" x14ac:dyDescent="0.3">
      <c r="A49" s="100" t="s">
        <v>5</v>
      </c>
      <c r="B49" s="101"/>
      <c r="C49" s="102"/>
      <c r="D49" s="51">
        <f>SUM(E49:AH49)</f>
        <v>607014</v>
      </c>
      <c r="E49" s="51">
        <f t="shared" ref="E49:AJ49" si="4">SUM(E23,E48)</f>
        <v>20908</v>
      </c>
      <c r="F49" s="51">
        <f t="shared" si="4"/>
        <v>20735</v>
      </c>
      <c r="G49" s="52">
        <f t="shared" si="4"/>
        <v>18979</v>
      </c>
      <c r="H49" s="52">
        <f t="shared" si="4"/>
        <v>20450</v>
      </c>
      <c r="I49" s="52">
        <f t="shared" si="4"/>
        <v>24508</v>
      </c>
      <c r="J49" s="52">
        <f t="shared" si="4"/>
        <v>20565</v>
      </c>
      <c r="K49" s="52">
        <f t="shared" si="4"/>
        <v>18339</v>
      </c>
      <c r="L49" s="52">
        <f t="shared" si="4"/>
        <v>18350</v>
      </c>
      <c r="M49" s="52">
        <f t="shared" si="4"/>
        <v>21970</v>
      </c>
      <c r="N49" s="52">
        <f t="shared" si="4"/>
        <v>21070</v>
      </c>
      <c r="O49" s="52">
        <f t="shared" si="4"/>
        <v>21469</v>
      </c>
      <c r="P49" s="52">
        <f t="shared" si="4"/>
        <v>21615</v>
      </c>
      <c r="Q49" s="52">
        <f t="shared" si="4"/>
        <v>22145</v>
      </c>
      <c r="R49" s="52">
        <f t="shared" si="4"/>
        <v>20235</v>
      </c>
      <c r="S49" s="52">
        <f t="shared" si="4"/>
        <v>23699</v>
      </c>
      <c r="T49" s="52">
        <f t="shared" si="4"/>
        <v>19253</v>
      </c>
      <c r="U49" s="52">
        <f t="shared" si="4"/>
        <v>11810</v>
      </c>
      <c r="V49" s="52">
        <f t="shared" si="4"/>
        <v>23975</v>
      </c>
      <c r="W49" s="52">
        <f t="shared" si="4"/>
        <v>14587</v>
      </c>
      <c r="X49" s="52">
        <f t="shared" si="4"/>
        <v>14055</v>
      </c>
      <c r="Y49" s="52">
        <f t="shared" si="4"/>
        <v>17403</v>
      </c>
      <c r="Z49" s="52">
        <f t="shared" si="4"/>
        <v>14995</v>
      </c>
      <c r="AA49" s="52">
        <f t="shared" si="4"/>
        <v>17669</v>
      </c>
      <c r="AB49" s="52">
        <f t="shared" si="4"/>
        <v>16710</v>
      </c>
      <c r="AC49" s="52">
        <f t="shared" si="4"/>
        <v>22905</v>
      </c>
      <c r="AD49" s="52">
        <f t="shared" si="4"/>
        <v>29255</v>
      </c>
      <c r="AE49" s="52">
        <f t="shared" si="4"/>
        <v>23465</v>
      </c>
      <c r="AF49" s="52">
        <f t="shared" si="4"/>
        <v>17790</v>
      </c>
      <c r="AG49" s="52">
        <f t="shared" si="4"/>
        <v>19060</v>
      </c>
      <c r="AH49" s="52">
        <f t="shared" si="4"/>
        <v>29045</v>
      </c>
      <c r="AI49" s="52">
        <f t="shared" si="4"/>
        <v>0</v>
      </c>
      <c r="AJ49" s="52">
        <f t="shared" si="4"/>
        <v>0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D50" sqref="D50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112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58</v>
      </c>
      <c r="F4" s="36" t="s">
        <v>81</v>
      </c>
      <c r="G4" s="36" t="s">
        <v>75</v>
      </c>
      <c r="H4" s="36" t="s">
        <v>76</v>
      </c>
      <c r="I4" s="36" t="s">
        <v>77</v>
      </c>
      <c r="J4" s="36" t="s">
        <v>78</v>
      </c>
      <c r="K4" s="36" t="s">
        <v>79</v>
      </c>
      <c r="L4" s="36" t="s">
        <v>80</v>
      </c>
      <c r="M4" s="36" t="s">
        <v>81</v>
      </c>
      <c r="N4" s="36" t="s">
        <v>75</v>
      </c>
      <c r="O4" s="36" t="s">
        <v>76</v>
      </c>
      <c r="P4" s="36" t="s">
        <v>77</v>
      </c>
      <c r="Q4" s="36" t="s">
        <v>78</v>
      </c>
      <c r="R4" s="36" t="s">
        <v>79</v>
      </c>
      <c r="S4" s="36" t="s">
        <v>80</v>
      </c>
      <c r="T4" s="36" t="s">
        <v>81</v>
      </c>
      <c r="U4" s="36" t="s">
        <v>75</v>
      </c>
      <c r="V4" s="36" t="s">
        <v>76</v>
      </c>
      <c r="W4" s="36" t="s">
        <v>77</v>
      </c>
      <c r="X4" s="36" t="s">
        <v>78</v>
      </c>
      <c r="Y4" s="36" t="s">
        <v>79</v>
      </c>
      <c r="Z4" s="36" t="s">
        <v>80</v>
      </c>
      <c r="AA4" s="36" t="s">
        <v>81</v>
      </c>
      <c r="AB4" s="36" t="s">
        <v>75</v>
      </c>
      <c r="AC4" s="36" t="s">
        <v>76</v>
      </c>
      <c r="AD4" s="36" t="s">
        <v>77</v>
      </c>
      <c r="AE4" s="36" t="s">
        <v>78</v>
      </c>
      <c r="AF4" s="36" t="s">
        <v>79</v>
      </c>
      <c r="AG4" s="36" t="s">
        <v>80</v>
      </c>
      <c r="AH4" s="36" t="s">
        <v>81</v>
      </c>
      <c r="AI4" s="36" t="s">
        <v>75</v>
      </c>
      <c r="AJ4" s="36" t="s">
        <v>76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65</v>
      </c>
      <c r="F5" s="38" t="s">
        <v>65</v>
      </c>
      <c r="G5" s="38" t="s">
        <v>65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65</v>
      </c>
      <c r="O5" s="38" t="s">
        <v>65</v>
      </c>
      <c r="P5" s="38" t="s">
        <v>65</v>
      </c>
      <c r="Q5" s="38" t="s">
        <v>65</v>
      </c>
      <c r="R5" s="38" t="s">
        <v>65</v>
      </c>
      <c r="S5" s="38" t="s">
        <v>65</v>
      </c>
      <c r="T5" s="38" t="s">
        <v>65</v>
      </c>
      <c r="U5" s="38" t="s">
        <v>65</v>
      </c>
      <c r="V5" s="38" t="s">
        <v>95</v>
      </c>
      <c r="W5" s="38" t="s">
        <v>98</v>
      </c>
      <c r="X5" s="38" t="s">
        <v>65</v>
      </c>
      <c r="Y5" s="38" t="s">
        <v>65</v>
      </c>
      <c r="Z5" s="38" t="s">
        <v>95</v>
      </c>
      <c r="AA5" s="38" t="s">
        <v>65</v>
      </c>
      <c r="AB5" s="38" t="s">
        <v>95</v>
      </c>
      <c r="AC5" s="38" t="s">
        <v>66</v>
      </c>
      <c r="AD5" s="38" t="s">
        <v>68</v>
      </c>
      <c r="AE5" s="38" t="s">
        <v>65</v>
      </c>
      <c r="AF5" s="38" t="s">
        <v>65</v>
      </c>
      <c r="AG5" s="38" t="s">
        <v>65</v>
      </c>
      <c r="AH5" s="38" t="s">
        <v>65</v>
      </c>
      <c r="AI5" s="53"/>
      <c r="AJ5" s="38" t="s">
        <v>65</v>
      </c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1610</v>
      </c>
      <c r="E6" s="40">
        <f>1610</f>
        <v>1610</v>
      </c>
      <c r="F6" s="40"/>
      <c r="G6" s="40"/>
      <c r="H6" s="40">
        <v>0</v>
      </c>
      <c r="I6" s="40">
        <v>0</v>
      </c>
      <c r="J6" s="40"/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/>
      <c r="Q6" s="40">
        <v>0</v>
      </c>
      <c r="R6" s="54">
        <v>0</v>
      </c>
      <c r="S6" s="54"/>
      <c r="T6" s="54">
        <v>0</v>
      </c>
      <c r="U6" s="54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43">
        <v>0</v>
      </c>
      <c r="AC6" s="43">
        <v>0</v>
      </c>
      <c r="AD6" s="43">
        <v>0</v>
      </c>
      <c r="AE6" s="43">
        <v>0</v>
      </c>
      <c r="AF6" s="43">
        <v>0</v>
      </c>
      <c r="AG6" s="43">
        <v>0</v>
      </c>
      <c r="AH6" s="44">
        <v>0</v>
      </c>
      <c r="AI6" s="43"/>
      <c r="AJ6" s="44">
        <v>0</v>
      </c>
    </row>
    <row r="7" spans="1:36" ht="16.5" customHeight="1" x14ac:dyDescent="0.3">
      <c r="A7" s="94"/>
      <c r="B7" s="98" t="s">
        <v>23</v>
      </c>
      <c r="C7" s="99"/>
      <c r="D7" s="39">
        <f t="shared" si="0"/>
        <v>151746</v>
      </c>
      <c r="E7" s="40">
        <f>6800+6290</f>
        <v>13090</v>
      </c>
      <c r="F7" s="40">
        <v>4152</v>
      </c>
      <c r="G7" s="40">
        <v>3190</v>
      </c>
      <c r="H7" s="40">
        <v>5705</v>
      </c>
      <c r="I7" s="40">
        <f>6540+3950</f>
        <v>10490</v>
      </c>
      <c r="J7" s="40">
        <v>2735</v>
      </c>
      <c r="K7" s="40">
        <v>2690</v>
      </c>
      <c r="L7" s="40">
        <v>5305</v>
      </c>
      <c r="M7" s="40">
        <f>3740+2900</f>
        <v>6640</v>
      </c>
      <c r="N7" s="40">
        <v>3735</v>
      </c>
      <c r="O7" s="40">
        <v>2690</v>
      </c>
      <c r="P7" s="40">
        <v>5295</v>
      </c>
      <c r="Q7" s="40">
        <f>3200+3790</f>
        <v>6990</v>
      </c>
      <c r="R7" s="54">
        <v>2550</v>
      </c>
      <c r="S7" s="54">
        <v>1390</v>
      </c>
      <c r="T7" s="54">
        <v>4465</v>
      </c>
      <c r="U7" s="54">
        <v>9190</v>
      </c>
      <c r="V7" s="43">
        <v>2330</v>
      </c>
      <c r="W7" s="43">
        <v>1690</v>
      </c>
      <c r="X7" s="43">
        <v>5570</v>
      </c>
      <c r="Y7" s="43">
        <v>9010</v>
      </c>
      <c r="Z7" s="43">
        <v>2470</v>
      </c>
      <c r="AA7" s="43">
        <v>4150</v>
      </c>
      <c r="AB7" s="43">
        <v>4365</v>
      </c>
      <c r="AC7" s="43">
        <v>8860</v>
      </c>
      <c r="AD7" s="43">
        <v>2724</v>
      </c>
      <c r="AE7" s="43">
        <v>2350</v>
      </c>
      <c r="AF7" s="43">
        <v>4465</v>
      </c>
      <c r="AG7" s="43">
        <v>9540</v>
      </c>
      <c r="AH7" s="43">
        <v>3920</v>
      </c>
      <c r="AI7" s="43"/>
      <c r="AJ7" s="43">
        <v>1890</v>
      </c>
    </row>
    <row r="8" spans="1:36" ht="16.5" customHeight="1" x14ac:dyDescent="0.3">
      <c r="A8" s="94"/>
      <c r="B8" s="98" t="s">
        <v>25</v>
      </c>
      <c r="C8" s="99"/>
      <c r="D8" s="39">
        <f t="shared" si="0"/>
        <v>70578</v>
      </c>
      <c r="E8" s="40"/>
      <c r="F8" s="40">
        <v>4100</v>
      </c>
      <c r="G8" s="40">
        <v>3735</v>
      </c>
      <c r="H8" s="40">
        <v>5299</v>
      </c>
      <c r="I8" s="40">
        <f>0</f>
        <v>0</v>
      </c>
      <c r="J8" s="40">
        <v>3600</v>
      </c>
      <c r="K8" s="40">
        <v>2235</v>
      </c>
      <c r="L8" s="40">
        <v>2669</v>
      </c>
      <c r="M8" s="40">
        <f>0</f>
        <v>0</v>
      </c>
      <c r="N8" s="40">
        <v>3800</v>
      </c>
      <c r="O8" s="40">
        <v>2145</v>
      </c>
      <c r="P8" s="40">
        <v>3069</v>
      </c>
      <c r="Q8" s="40">
        <f>0</f>
        <v>0</v>
      </c>
      <c r="R8" s="54">
        <v>3450</v>
      </c>
      <c r="S8" s="54">
        <v>1500</v>
      </c>
      <c r="T8" s="54">
        <v>3669</v>
      </c>
      <c r="U8" s="54">
        <v>0</v>
      </c>
      <c r="V8" s="43">
        <v>2900</v>
      </c>
      <c r="W8" s="43">
        <v>1770</v>
      </c>
      <c r="X8" s="43">
        <v>3069</v>
      </c>
      <c r="Y8" s="43">
        <v>0</v>
      </c>
      <c r="Z8" s="43">
        <v>3550</v>
      </c>
      <c r="AA8" s="43">
        <v>3700</v>
      </c>
      <c r="AB8" s="43">
        <v>3669</v>
      </c>
      <c r="AC8" s="43">
        <v>0</v>
      </c>
      <c r="AD8" s="43">
        <v>2900</v>
      </c>
      <c r="AE8" s="43">
        <v>2530</v>
      </c>
      <c r="AF8" s="43">
        <v>3169</v>
      </c>
      <c r="AG8" s="43">
        <v>0</v>
      </c>
      <c r="AH8" s="43">
        <v>4050</v>
      </c>
      <c r="AI8" s="43"/>
      <c r="AJ8" s="43">
        <v>3655</v>
      </c>
    </row>
    <row r="9" spans="1:36" ht="16.5" customHeight="1" x14ac:dyDescent="0.3">
      <c r="A9" s="94"/>
      <c r="B9" s="98" t="s">
        <v>29</v>
      </c>
      <c r="C9" s="99"/>
      <c r="D9" s="39">
        <f t="shared" si="0"/>
        <v>85153</v>
      </c>
      <c r="E9" s="40">
        <f>1310+600</f>
        <v>1910</v>
      </c>
      <c r="F9" s="40">
        <f>1220+2090</f>
        <v>3310</v>
      </c>
      <c r="G9" s="40">
        <f>1510+2740</f>
        <v>4250</v>
      </c>
      <c r="H9" s="45">
        <f>2650+1350</f>
        <v>4000</v>
      </c>
      <c r="I9" s="40">
        <f>600+1700</f>
        <v>2300</v>
      </c>
      <c r="J9" s="40">
        <f>1745+1120</f>
        <v>2865</v>
      </c>
      <c r="K9" s="40">
        <f>1185+1500</f>
        <v>2685</v>
      </c>
      <c r="L9" s="40">
        <f>2550+1350</f>
        <v>3900</v>
      </c>
      <c r="M9" s="40">
        <f>600+800</f>
        <v>1400</v>
      </c>
      <c r="N9" s="40">
        <f>1020+1245</f>
        <v>2265</v>
      </c>
      <c r="O9" s="40">
        <f>1500+1205</f>
        <v>2705</v>
      </c>
      <c r="P9" s="40">
        <f>2670+1350</f>
        <v>4020</v>
      </c>
      <c r="Q9" s="40">
        <f>600+1050</f>
        <v>1650</v>
      </c>
      <c r="R9" s="54">
        <f>870+1795</f>
        <v>2665</v>
      </c>
      <c r="S9" s="54">
        <f>935+540</f>
        <v>1475</v>
      </c>
      <c r="T9" s="54">
        <v>4020</v>
      </c>
      <c r="U9" s="54">
        <v>1650</v>
      </c>
      <c r="V9" s="43">
        <v>2335</v>
      </c>
      <c r="W9" s="43">
        <v>2085</v>
      </c>
      <c r="X9" s="43">
        <v>3602</v>
      </c>
      <c r="Y9" s="43">
        <v>1900</v>
      </c>
      <c r="Z9" s="43">
        <v>2850</v>
      </c>
      <c r="AA9" s="43">
        <v>4190</v>
      </c>
      <c r="AB9" s="43">
        <v>4020</v>
      </c>
      <c r="AC9" s="43">
        <v>2100</v>
      </c>
      <c r="AD9" s="43">
        <v>2461</v>
      </c>
      <c r="AE9" s="43">
        <v>3410</v>
      </c>
      <c r="AF9" s="43">
        <v>3440</v>
      </c>
      <c r="AG9" s="43">
        <v>1850</v>
      </c>
      <c r="AH9" s="43">
        <v>3840</v>
      </c>
      <c r="AI9" s="43"/>
      <c r="AJ9" s="43">
        <v>2940</v>
      </c>
    </row>
    <row r="10" spans="1:36" ht="16.5" customHeight="1" x14ac:dyDescent="0.3">
      <c r="A10" s="94"/>
      <c r="B10" s="96" t="s">
        <v>92</v>
      </c>
      <c r="C10" s="97"/>
      <c r="D10" s="39">
        <f t="shared" si="0"/>
        <v>2840</v>
      </c>
      <c r="E10" s="40">
        <v>180</v>
      </c>
      <c r="F10" s="40">
        <f>230+190</f>
        <v>420</v>
      </c>
      <c r="G10" s="40">
        <f>125+180</f>
        <v>305</v>
      </c>
      <c r="H10" s="40">
        <f>170+0</f>
        <v>170</v>
      </c>
      <c r="I10" s="40">
        <f>250</f>
        <v>250</v>
      </c>
      <c r="J10" s="40">
        <f>160+160</f>
        <v>320</v>
      </c>
      <c r="K10" s="40"/>
      <c r="L10" s="40">
        <f>170+0</f>
        <v>170</v>
      </c>
      <c r="M10" s="40">
        <f>30</f>
        <v>30</v>
      </c>
      <c r="N10" s="40">
        <f>205+160</f>
        <v>365</v>
      </c>
      <c r="O10" s="40">
        <f>50</f>
        <v>50</v>
      </c>
      <c r="P10" s="40">
        <f>170+0</f>
        <v>170</v>
      </c>
      <c r="Q10" s="40">
        <f>80</f>
        <v>80</v>
      </c>
      <c r="R10" s="40">
        <f>170+110</f>
        <v>280</v>
      </c>
      <c r="S10" s="40">
        <f>50</f>
        <v>50</v>
      </c>
      <c r="T10" s="40"/>
      <c r="U10" s="40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6.5" customHeight="1" x14ac:dyDescent="0.3">
      <c r="A18" s="94"/>
      <c r="B18" s="98" t="s">
        <v>1</v>
      </c>
      <c r="C18" s="99"/>
      <c r="D18" s="39">
        <f t="shared" si="0"/>
        <v>142574</v>
      </c>
      <c r="E18" s="40">
        <f>2410+2820</f>
        <v>5230</v>
      </c>
      <c r="F18" s="40">
        <f>3810+2970</f>
        <v>6780</v>
      </c>
      <c r="G18" s="40">
        <f>3150+2000</f>
        <v>5150</v>
      </c>
      <c r="H18" s="40">
        <f>1630+4650</f>
        <v>6280</v>
      </c>
      <c r="I18" s="40">
        <f>2410+4100</f>
        <v>6510</v>
      </c>
      <c r="J18" s="40">
        <f>3400+1610</f>
        <v>5010</v>
      </c>
      <c r="K18" s="40">
        <f>1600+2650</f>
        <v>4250</v>
      </c>
      <c r="L18" s="40">
        <f>1800+1630</f>
        <v>3430</v>
      </c>
      <c r="M18" s="40">
        <f>1710+1500</f>
        <v>3210</v>
      </c>
      <c r="N18" s="40">
        <f>3850+1610</f>
        <v>5460</v>
      </c>
      <c r="O18" s="40">
        <f>2650+1420</f>
        <v>4070</v>
      </c>
      <c r="P18" s="40">
        <f>2630+1620</f>
        <v>4250</v>
      </c>
      <c r="Q18" s="40">
        <f>1750+2300</f>
        <v>4050</v>
      </c>
      <c r="R18" s="54">
        <f>3490+1610</f>
        <v>5100</v>
      </c>
      <c r="S18" s="54">
        <f>880+410</f>
        <v>1290</v>
      </c>
      <c r="T18" s="54">
        <v>6900</v>
      </c>
      <c r="U18" s="54">
        <v>6450</v>
      </c>
      <c r="V18" s="43">
        <v>3540</v>
      </c>
      <c r="W18" s="43">
        <v>2065</v>
      </c>
      <c r="X18" s="43">
        <v>3928</v>
      </c>
      <c r="Y18" s="43">
        <v>5220</v>
      </c>
      <c r="Z18" s="43">
        <v>4370</v>
      </c>
      <c r="AA18" s="43">
        <v>5470</v>
      </c>
      <c r="AB18" s="43">
        <v>6480</v>
      </c>
      <c r="AC18" s="43">
        <v>5520</v>
      </c>
      <c r="AD18" s="43">
        <v>3600</v>
      </c>
      <c r="AE18" s="43">
        <v>3580</v>
      </c>
      <c r="AF18" s="43">
        <v>3880</v>
      </c>
      <c r="AG18" s="43">
        <v>5741</v>
      </c>
      <c r="AH18" s="43">
        <v>5760</v>
      </c>
      <c r="AI18" s="43"/>
      <c r="AJ18" s="43">
        <v>3530</v>
      </c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54"/>
      <c r="S19" s="54"/>
      <c r="T19" s="54"/>
      <c r="U19" s="54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6.5" customHeight="1" x14ac:dyDescent="0.3">
      <c r="A20" s="94"/>
      <c r="B20" s="98" t="s">
        <v>16</v>
      </c>
      <c r="C20" s="99"/>
      <c r="D20" s="39">
        <f t="shared" si="0"/>
        <v>18464</v>
      </c>
      <c r="E20" s="40">
        <f>330</f>
        <v>330</v>
      </c>
      <c r="F20" s="40"/>
      <c r="G20" s="40">
        <f>1210+370</f>
        <v>1580</v>
      </c>
      <c r="H20" s="40">
        <f>275+0</f>
        <v>275</v>
      </c>
      <c r="I20" s="40">
        <f>370</f>
        <v>370</v>
      </c>
      <c r="J20" s="40">
        <f>500+377</f>
        <v>877</v>
      </c>
      <c r="K20" s="40">
        <f>920+185</f>
        <v>1105</v>
      </c>
      <c r="L20" s="40">
        <f>145</f>
        <v>145</v>
      </c>
      <c r="M20" s="40">
        <f>180</f>
        <v>180</v>
      </c>
      <c r="N20" s="40">
        <f>630+377</f>
        <v>1007</v>
      </c>
      <c r="O20" s="40">
        <f>185+820</f>
        <v>1005</v>
      </c>
      <c r="P20" s="40">
        <f>145+0</f>
        <v>145</v>
      </c>
      <c r="Q20" s="40">
        <f>220</f>
        <v>220</v>
      </c>
      <c r="R20" s="54">
        <f>420+395</f>
        <v>815</v>
      </c>
      <c r="S20" s="54">
        <f>510+0</f>
        <v>510</v>
      </c>
      <c r="T20" s="54">
        <v>175</v>
      </c>
      <c r="U20" s="54">
        <v>1190</v>
      </c>
      <c r="V20" s="43">
        <v>540</v>
      </c>
      <c r="W20" s="43">
        <v>875</v>
      </c>
      <c r="X20" s="43">
        <v>175</v>
      </c>
      <c r="Y20" s="43">
        <v>360</v>
      </c>
      <c r="Z20" s="43">
        <v>755</v>
      </c>
      <c r="AA20" s="43">
        <v>1455</v>
      </c>
      <c r="AB20" s="43">
        <v>175</v>
      </c>
      <c r="AC20" s="43">
        <v>400</v>
      </c>
      <c r="AD20" s="43">
        <v>640</v>
      </c>
      <c r="AE20" s="43">
        <v>1015</v>
      </c>
      <c r="AF20" s="43">
        <v>175</v>
      </c>
      <c r="AG20" s="43">
        <v>340</v>
      </c>
      <c r="AH20" s="43">
        <v>1630</v>
      </c>
      <c r="AI20" s="43"/>
      <c r="AJ20" s="43">
        <v>1040</v>
      </c>
    </row>
    <row r="21" spans="1:36" ht="16.5" customHeight="1" x14ac:dyDescent="0.3">
      <c r="A21" s="94"/>
      <c r="B21" s="98" t="s">
        <v>10</v>
      </c>
      <c r="C21" s="99"/>
      <c r="D21" s="39">
        <f t="shared" si="0"/>
        <v>4876</v>
      </c>
      <c r="E21" s="40">
        <f>39+155</f>
        <v>194</v>
      </c>
      <c r="F21" s="40"/>
      <c r="G21" s="40">
        <f>220</f>
        <v>220</v>
      </c>
      <c r="H21" s="40">
        <f>230+25</f>
        <v>255</v>
      </c>
      <c r="I21" s="40">
        <f>210+39</f>
        <v>249</v>
      </c>
      <c r="J21" s="40">
        <f>60+0</f>
        <v>60</v>
      </c>
      <c r="K21" s="40">
        <f>220</f>
        <v>220</v>
      </c>
      <c r="L21" s="40">
        <f>170</f>
        <v>170</v>
      </c>
      <c r="M21" s="40">
        <f>39+90</f>
        <v>129</v>
      </c>
      <c r="N21" s="40">
        <f>100+0</f>
        <v>100</v>
      </c>
      <c r="O21" s="40">
        <f>220</f>
        <v>220</v>
      </c>
      <c r="P21" s="40">
        <f>215+25</f>
        <v>240</v>
      </c>
      <c r="Q21" s="40">
        <f>39+70</f>
        <v>109</v>
      </c>
      <c r="R21" s="54">
        <f>70</f>
        <v>70</v>
      </c>
      <c r="S21" s="54">
        <f>110</f>
        <v>110</v>
      </c>
      <c r="T21" s="54">
        <v>240</v>
      </c>
      <c r="U21" s="54">
        <v>189</v>
      </c>
      <c r="V21" s="43">
        <v>60</v>
      </c>
      <c r="W21" s="43">
        <v>130</v>
      </c>
      <c r="X21" s="43">
        <v>249</v>
      </c>
      <c r="Y21" s="43">
        <v>139</v>
      </c>
      <c r="Z21" s="43">
        <v>70</v>
      </c>
      <c r="AA21" s="43">
        <v>295</v>
      </c>
      <c r="AB21" s="43">
        <v>240</v>
      </c>
      <c r="AC21" s="43">
        <v>179</v>
      </c>
      <c r="AD21" s="43">
        <v>50</v>
      </c>
      <c r="AE21" s="43">
        <v>210</v>
      </c>
      <c r="AF21" s="43">
        <v>180</v>
      </c>
      <c r="AG21" s="43">
        <v>139</v>
      </c>
      <c r="AH21" s="43">
        <v>160</v>
      </c>
      <c r="AI21" s="43"/>
      <c r="AJ21" s="43">
        <v>110</v>
      </c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54"/>
      <c r="S22" s="54"/>
      <c r="T22" s="54"/>
      <c r="U22" s="54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6.5" customHeight="1" x14ac:dyDescent="0.3">
      <c r="A23" s="88" t="s">
        <v>4</v>
      </c>
      <c r="B23" s="89"/>
      <c r="C23" s="90"/>
      <c r="D23" s="39">
        <f t="shared" si="0"/>
        <v>290305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>
        <f>SUM(P6:P22)</f>
        <v>17189</v>
      </c>
      <c r="Q23" s="35">
        <f t="shared" ref="Q23:AJ23" si="1">SUM(Q6:Q22)</f>
        <v>13099</v>
      </c>
      <c r="R23" s="35">
        <f t="shared" si="1"/>
        <v>14930</v>
      </c>
      <c r="S23" s="35">
        <f t="shared" si="1"/>
        <v>6325</v>
      </c>
      <c r="T23" s="35">
        <f t="shared" si="1"/>
        <v>19469</v>
      </c>
      <c r="U23" s="35">
        <f t="shared" si="1"/>
        <v>18669</v>
      </c>
      <c r="V23" s="46">
        <f t="shared" si="1"/>
        <v>11705</v>
      </c>
      <c r="W23" s="46">
        <f t="shared" si="1"/>
        <v>8615</v>
      </c>
      <c r="X23" s="46">
        <f t="shared" si="1"/>
        <v>16593</v>
      </c>
      <c r="Y23" s="46">
        <f t="shared" si="1"/>
        <v>16629</v>
      </c>
      <c r="Z23" s="46">
        <f t="shared" si="1"/>
        <v>14065</v>
      </c>
      <c r="AA23" s="46">
        <f t="shared" si="1"/>
        <v>19260</v>
      </c>
      <c r="AB23" s="46">
        <f t="shared" si="1"/>
        <v>18949</v>
      </c>
      <c r="AC23" s="46">
        <f t="shared" si="1"/>
        <v>17059</v>
      </c>
      <c r="AD23" s="46">
        <f t="shared" si="1"/>
        <v>12375</v>
      </c>
      <c r="AE23" s="46">
        <f t="shared" si="1"/>
        <v>13095</v>
      </c>
      <c r="AF23" s="46">
        <f t="shared" si="1"/>
        <v>15309</v>
      </c>
      <c r="AG23" s="46">
        <f t="shared" si="1"/>
        <v>17610</v>
      </c>
      <c r="AH23" s="46">
        <f t="shared" si="1"/>
        <v>19360</v>
      </c>
      <c r="AI23" s="46">
        <f t="shared" si="1"/>
        <v>0</v>
      </c>
      <c r="AJ23" s="46">
        <f t="shared" si="1"/>
        <v>13165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0"/>
      <c r="F24" s="40"/>
      <c r="G24" s="35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54"/>
      <c r="S24" s="54"/>
      <c r="T24" s="54"/>
      <c r="U24" s="54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0"/>
      <c r="F25" s="40"/>
      <c r="G25" s="35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54"/>
      <c r="S25" s="54"/>
      <c r="T25" s="54"/>
      <c r="U25" s="54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0"/>
      <c r="F26" s="40"/>
      <c r="G26" s="35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54"/>
      <c r="S26" s="54"/>
      <c r="T26" s="54"/>
      <c r="U26" s="54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0"/>
      <c r="F27" s="40"/>
      <c r="G27" s="35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54"/>
      <c r="S27" s="54"/>
      <c r="T27" s="54"/>
      <c r="U27" s="54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0"/>
      <c r="F28" s="40"/>
      <c r="G28" s="35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54"/>
      <c r="S28" s="54"/>
      <c r="T28" s="54"/>
      <c r="U28" s="54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0"/>
      <c r="F29" s="40"/>
      <c r="G29" s="35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54"/>
      <c r="S29" s="54"/>
      <c r="T29" s="54"/>
      <c r="U29" s="54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0"/>
      <c r="F30" s="40"/>
      <c r="G30" s="35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54"/>
      <c r="S30" s="54"/>
      <c r="T30" s="54"/>
      <c r="U30" s="54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0"/>
      <c r="F31" s="40"/>
      <c r="G31" s="35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54"/>
      <c r="S31" s="54"/>
      <c r="T31" s="54"/>
      <c r="U31" s="54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0"/>
      <c r="F32" s="40"/>
      <c r="G32" s="35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54"/>
      <c r="S32" s="54"/>
      <c r="T32" s="54"/>
      <c r="U32" s="54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0"/>
      <c r="F33" s="40"/>
      <c r="G33" s="35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54"/>
      <c r="S33" s="54"/>
      <c r="T33" s="54"/>
      <c r="U33" s="54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0"/>
      <c r="F34" s="40"/>
      <c r="G34" s="35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54"/>
      <c r="S34" s="54"/>
      <c r="T34" s="54"/>
      <c r="U34" s="54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0"/>
      <c r="F35" s="40"/>
      <c r="G35" s="35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54"/>
      <c r="S35" s="54"/>
      <c r="T35" s="54"/>
      <c r="U35" s="54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0"/>
      <c r="F36" s="40"/>
      <c r="G36" s="35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54"/>
      <c r="S36" s="54"/>
      <c r="T36" s="54"/>
      <c r="U36" s="54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0"/>
      <c r="F37" s="40"/>
      <c r="G37" s="35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54"/>
      <c r="S37" s="54"/>
      <c r="T37" s="54"/>
      <c r="U37" s="54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0"/>
      <c r="F38" s="40"/>
      <c r="G38" s="35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54"/>
      <c r="S38" s="54"/>
      <c r="T38" s="54"/>
      <c r="U38" s="54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0"/>
      <c r="F39" s="40"/>
      <c r="G39" s="35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54"/>
      <c r="S39" s="54"/>
      <c r="T39" s="54"/>
      <c r="U39" s="54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0"/>
      <c r="F40" s="40"/>
      <c r="G40" s="35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54"/>
      <c r="S40" s="54"/>
      <c r="T40" s="54"/>
      <c r="U40" s="54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0"/>
      <c r="F41" s="40"/>
      <c r="G41" s="35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54"/>
      <c r="S41" s="54"/>
      <c r="T41" s="54"/>
      <c r="U41" s="54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0"/>
      <c r="F42" s="40"/>
      <c r="G42" s="35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54"/>
      <c r="S42" s="54"/>
      <c r="T42" s="54"/>
      <c r="U42" s="54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0"/>
      <c r="F43" s="40"/>
      <c r="G43" s="35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54"/>
      <c r="S43" s="54"/>
      <c r="T43" s="54"/>
      <c r="U43" s="54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0"/>
      <c r="F44" s="40"/>
      <c r="G44" s="35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54"/>
      <c r="S44" s="54"/>
      <c r="T44" s="54"/>
      <c r="U44" s="54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0"/>
      <c r="F45" s="40"/>
      <c r="G45" s="35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54"/>
      <c r="S45" s="54"/>
      <c r="T45" s="54"/>
      <c r="U45" s="54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0"/>
      <c r="F46" s="40"/>
      <c r="G46" s="48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3">
      <c r="A47" s="95"/>
      <c r="B47" s="95"/>
      <c r="C47" s="47" t="s">
        <v>15</v>
      </c>
      <c r="D47" s="39">
        <f>SUM(E47:AH47)</f>
        <v>126840</v>
      </c>
      <c r="E47" s="40">
        <f>1080+2770</f>
        <v>3850</v>
      </c>
      <c r="F47" s="40">
        <f>2700+3110</f>
        <v>5810</v>
      </c>
      <c r="G47" s="40">
        <f>2800+2690</f>
        <v>5490</v>
      </c>
      <c r="H47" s="40">
        <f>1801+1380</f>
        <v>3181</v>
      </c>
      <c r="I47" s="40">
        <f>880+3200</f>
        <v>4080</v>
      </c>
      <c r="J47" s="40">
        <f>2400+2320</f>
        <v>4720</v>
      </c>
      <c r="K47" s="40">
        <f>1890+2490</f>
        <v>4380</v>
      </c>
      <c r="L47" s="40">
        <f>1586+1380</f>
        <v>2966</v>
      </c>
      <c r="M47" s="40">
        <f>880+2600</f>
        <v>3480</v>
      </c>
      <c r="N47" s="40">
        <f>2600+2320</f>
        <v>4920</v>
      </c>
      <c r="O47" s="40">
        <f>2490+1860</f>
        <v>4350</v>
      </c>
      <c r="P47" s="40">
        <f>1586+1380</f>
        <v>2966</v>
      </c>
      <c r="Q47" s="40">
        <f>3200+880</f>
        <v>4080</v>
      </c>
      <c r="R47" s="54">
        <f>2300+1950</f>
        <v>4250</v>
      </c>
      <c r="S47" s="54">
        <f>1180+1490</f>
        <v>2670</v>
      </c>
      <c r="T47" s="54">
        <v>3466</v>
      </c>
      <c r="U47" s="54">
        <v>5180</v>
      </c>
      <c r="V47" s="43">
        <v>3300</v>
      </c>
      <c r="W47" s="43">
        <v>3690</v>
      </c>
      <c r="X47" s="43">
        <v>3209</v>
      </c>
      <c r="Y47" s="43">
        <v>4580</v>
      </c>
      <c r="Z47" s="43">
        <v>4730</v>
      </c>
      <c r="AA47" s="43">
        <v>6790</v>
      </c>
      <c r="AB47" s="43">
        <v>3466</v>
      </c>
      <c r="AC47" s="43">
        <v>4580</v>
      </c>
      <c r="AD47" s="43">
        <v>4620</v>
      </c>
      <c r="AE47" s="43">
        <v>4350</v>
      </c>
      <c r="AF47" s="43">
        <v>3166</v>
      </c>
      <c r="AG47" s="43">
        <v>4380</v>
      </c>
      <c r="AH47" s="43">
        <v>6140</v>
      </c>
      <c r="AI47" s="43"/>
      <c r="AJ47" s="43">
        <v>5010</v>
      </c>
    </row>
    <row r="48" spans="1:36" ht="16.5" customHeight="1" x14ac:dyDescent="0.3">
      <c r="A48" s="88" t="s">
        <v>4</v>
      </c>
      <c r="B48" s="89"/>
      <c r="C48" s="90"/>
      <c r="D48" s="39">
        <f>SUM(E48:AH48)</f>
        <v>126840</v>
      </c>
      <c r="E48" s="50">
        <f>SUM(E46:E47)</f>
        <v>3850</v>
      </c>
      <c r="F48" s="50">
        <f t="shared" ref="F48:U48" si="3">SUM(F46:F47)</f>
        <v>5810</v>
      </c>
      <c r="G48" s="50">
        <f t="shared" si="3"/>
        <v>5490</v>
      </c>
      <c r="H48" s="50">
        <f t="shared" si="3"/>
        <v>3181</v>
      </c>
      <c r="I48" s="50">
        <f t="shared" si="3"/>
        <v>4080</v>
      </c>
      <c r="J48" s="50">
        <f t="shared" si="3"/>
        <v>4720</v>
      </c>
      <c r="K48" s="50">
        <f t="shared" si="3"/>
        <v>4380</v>
      </c>
      <c r="L48" s="50">
        <f t="shared" si="3"/>
        <v>2966</v>
      </c>
      <c r="M48" s="50">
        <f t="shared" si="3"/>
        <v>3480</v>
      </c>
      <c r="N48" s="50">
        <f t="shared" si="3"/>
        <v>4920</v>
      </c>
      <c r="O48" s="50">
        <f t="shared" si="3"/>
        <v>4350</v>
      </c>
      <c r="P48" s="50">
        <f t="shared" si="3"/>
        <v>2966</v>
      </c>
      <c r="Q48" s="50">
        <f t="shared" si="3"/>
        <v>4080</v>
      </c>
      <c r="R48" s="50">
        <f t="shared" si="3"/>
        <v>4250</v>
      </c>
      <c r="S48" s="50">
        <f t="shared" si="3"/>
        <v>2670</v>
      </c>
      <c r="T48" s="50">
        <f t="shared" si="3"/>
        <v>3466</v>
      </c>
      <c r="U48" s="50">
        <f t="shared" si="3"/>
        <v>5180</v>
      </c>
      <c r="V48" s="50">
        <f>SUM(V46:V47)</f>
        <v>3300</v>
      </c>
      <c r="W48" s="50">
        <f t="shared" ref="W48:AJ48" si="4">SUM(W46:W47)</f>
        <v>3690</v>
      </c>
      <c r="X48" s="50">
        <f t="shared" si="4"/>
        <v>3209</v>
      </c>
      <c r="Y48" s="50">
        <f t="shared" si="4"/>
        <v>4580</v>
      </c>
      <c r="Z48" s="50">
        <f t="shared" si="4"/>
        <v>4730</v>
      </c>
      <c r="AA48" s="50">
        <f t="shared" si="4"/>
        <v>6790</v>
      </c>
      <c r="AB48" s="50">
        <f t="shared" si="4"/>
        <v>3466</v>
      </c>
      <c r="AC48" s="50">
        <f t="shared" si="4"/>
        <v>4580</v>
      </c>
      <c r="AD48" s="50">
        <f t="shared" si="4"/>
        <v>4620</v>
      </c>
      <c r="AE48" s="50">
        <f t="shared" si="4"/>
        <v>4350</v>
      </c>
      <c r="AF48" s="50">
        <f t="shared" si="4"/>
        <v>3166</v>
      </c>
      <c r="AG48" s="50">
        <f t="shared" si="4"/>
        <v>4380</v>
      </c>
      <c r="AH48" s="50">
        <f t="shared" si="4"/>
        <v>6140</v>
      </c>
      <c r="AI48" s="50">
        <f t="shared" si="4"/>
        <v>0</v>
      </c>
      <c r="AJ48" s="50">
        <f t="shared" si="4"/>
        <v>5010</v>
      </c>
    </row>
    <row r="49" spans="1:36" ht="16.5" customHeight="1" x14ac:dyDescent="0.3">
      <c r="A49" s="100" t="s">
        <v>5</v>
      </c>
      <c r="B49" s="101"/>
      <c r="C49" s="102"/>
      <c r="D49" s="51">
        <f>SUM(D23,D48)</f>
        <v>417145</v>
      </c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2">
        <f>SUM(V23+V48)</f>
        <v>15005</v>
      </c>
      <c r="W49" s="52">
        <f t="shared" ref="W49:AJ49" si="5">SUM(W23+W48)</f>
        <v>12305</v>
      </c>
      <c r="X49" s="52">
        <f t="shared" si="5"/>
        <v>19802</v>
      </c>
      <c r="Y49" s="52">
        <f t="shared" si="5"/>
        <v>21209</v>
      </c>
      <c r="Z49" s="52">
        <f t="shared" si="5"/>
        <v>18795</v>
      </c>
      <c r="AA49" s="52">
        <f t="shared" si="5"/>
        <v>26050</v>
      </c>
      <c r="AB49" s="52">
        <f t="shared" si="5"/>
        <v>22415</v>
      </c>
      <c r="AC49" s="52">
        <f t="shared" si="5"/>
        <v>21639</v>
      </c>
      <c r="AD49" s="52">
        <f t="shared" si="5"/>
        <v>16995</v>
      </c>
      <c r="AE49" s="52">
        <f t="shared" si="5"/>
        <v>17445</v>
      </c>
      <c r="AF49" s="52">
        <f t="shared" si="5"/>
        <v>18475</v>
      </c>
      <c r="AG49" s="52">
        <f t="shared" si="5"/>
        <v>21990</v>
      </c>
      <c r="AH49" s="52">
        <f t="shared" si="5"/>
        <v>25500</v>
      </c>
      <c r="AI49" s="52">
        <f t="shared" si="5"/>
        <v>0</v>
      </c>
      <c r="AJ49" s="52">
        <f t="shared" si="5"/>
        <v>18175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6" sqref="E56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115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61</v>
      </c>
      <c r="F4" s="36" t="s">
        <v>55</v>
      </c>
      <c r="G4" s="36" t="s">
        <v>78</v>
      </c>
      <c r="H4" s="36" t="s">
        <v>79</v>
      </c>
      <c r="I4" s="36" t="s">
        <v>80</v>
      </c>
      <c r="J4" s="36" t="s">
        <v>81</v>
      </c>
      <c r="K4" s="36" t="s">
        <v>75</v>
      </c>
      <c r="L4" s="36" t="s">
        <v>76</v>
      </c>
      <c r="M4" s="36" t="s">
        <v>77</v>
      </c>
      <c r="N4" s="36" t="s">
        <v>78</v>
      </c>
      <c r="O4" s="36" t="s">
        <v>79</v>
      </c>
      <c r="P4" s="36" t="s">
        <v>80</v>
      </c>
      <c r="Q4" s="36" t="s">
        <v>81</v>
      </c>
      <c r="R4" s="36" t="s">
        <v>75</v>
      </c>
      <c r="S4" s="36" t="s">
        <v>76</v>
      </c>
      <c r="T4" s="36" t="s">
        <v>77</v>
      </c>
      <c r="U4" s="36" t="s">
        <v>78</v>
      </c>
      <c r="V4" s="36" t="s">
        <v>79</v>
      </c>
      <c r="W4" s="36" t="s">
        <v>80</v>
      </c>
      <c r="X4" s="36" t="s">
        <v>81</v>
      </c>
      <c r="Y4" s="36" t="s">
        <v>75</v>
      </c>
      <c r="Z4" s="36" t="s">
        <v>76</v>
      </c>
      <c r="AA4" s="36" t="s">
        <v>77</v>
      </c>
      <c r="AB4" s="36" t="s">
        <v>78</v>
      </c>
      <c r="AC4" s="36" t="s">
        <v>79</v>
      </c>
      <c r="AD4" s="36" t="s">
        <v>80</v>
      </c>
      <c r="AE4" s="36" t="s">
        <v>81</v>
      </c>
      <c r="AF4" s="36" t="s">
        <v>75</v>
      </c>
      <c r="AG4" s="36" t="s">
        <v>76</v>
      </c>
      <c r="AH4" s="36" t="s">
        <v>77</v>
      </c>
      <c r="AI4" s="36"/>
      <c r="AJ4" s="36"/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65</v>
      </c>
      <c r="F5" s="38" t="s">
        <v>68</v>
      </c>
      <c r="G5" s="38" t="s">
        <v>65</v>
      </c>
      <c r="H5" s="38" t="s">
        <v>65</v>
      </c>
      <c r="I5" s="38" t="s">
        <v>65</v>
      </c>
      <c r="J5" s="38" t="s">
        <v>65</v>
      </c>
      <c r="K5" s="38" t="s">
        <v>65</v>
      </c>
      <c r="L5" s="38" t="s">
        <v>65</v>
      </c>
      <c r="M5" s="38" t="s">
        <v>65</v>
      </c>
      <c r="N5" s="38" t="s">
        <v>99</v>
      </c>
      <c r="O5" s="38" t="s">
        <v>65</v>
      </c>
      <c r="P5" s="38" t="s">
        <v>73</v>
      </c>
      <c r="Q5" s="38" t="s">
        <v>66</v>
      </c>
      <c r="R5" s="38" t="s">
        <v>65</v>
      </c>
      <c r="S5" s="38" t="s">
        <v>65</v>
      </c>
      <c r="T5" s="38" t="s">
        <v>65</v>
      </c>
      <c r="U5" s="38" t="s">
        <v>65</v>
      </c>
      <c r="V5" s="38" t="s">
        <v>73</v>
      </c>
      <c r="W5" s="38" t="s">
        <v>65</v>
      </c>
      <c r="X5" s="38" t="s">
        <v>65</v>
      </c>
      <c r="Y5" s="38" t="s">
        <v>65</v>
      </c>
      <c r="Z5" s="38" t="s">
        <v>65</v>
      </c>
      <c r="AA5" s="38" t="s">
        <v>95</v>
      </c>
      <c r="AB5" s="38" t="s">
        <v>99</v>
      </c>
      <c r="AC5" s="38" t="s">
        <v>68</v>
      </c>
      <c r="AD5" s="38" t="s">
        <v>65</v>
      </c>
      <c r="AE5" s="38" t="s">
        <v>73</v>
      </c>
      <c r="AF5" s="38" t="s">
        <v>65</v>
      </c>
      <c r="AG5" s="38" t="s">
        <v>68</v>
      </c>
      <c r="AH5" s="38" t="s">
        <v>98</v>
      </c>
      <c r="AI5" s="53"/>
      <c r="AJ5" s="38"/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910</v>
      </c>
      <c r="E6" s="41">
        <v>0</v>
      </c>
      <c r="F6" s="41">
        <v>0</v>
      </c>
      <c r="G6" s="41">
        <v>0</v>
      </c>
      <c r="H6" s="41">
        <v>0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41">
        <v>0</v>
      </c>
      <c r="O6" s="42">
        <v>0</v>
      </c>
      <c r="P6" s="41">
        <v>110</v>
      </c>
      <c r="Q6" s="41">
        <v>0</v>
      </c>
      <c r="R6" s="43">
        <v>0</v>
      </c>
      <c r="S6" s="43">
        <v>0</v>
      </c>
      <c r="T6" s="43">
        <v>300</v>
      </c>
      <c r="U6" s="43">
        <v>0</v>
      </c>
      <c r="V6" s="43">
        <v>0</v>
      </c>
      <c r="W6" s="43">
        <v>0</v>
      </c>
      <c r="X6" s="60">
        <v>0</v>
      </c>
      <c r="Y6" s="60">
        <v>0</v>
      </c>
      <c r="Z6" s="60">
        <v>0</v>
      </c>
      <c r="AA6" s="60">
        <v>0</v>
      </c>
      <c r="AB6" s="60">
        <v>150</v>
      </c>
      <c r="AC6" s="60">
        <v>0</v>
      </c>
      <c r="AD6" s="60">
        <v>0</v>
      </c>
      <c r="AE6" s="60">
        <v>0</v>
      </c>
      <c r="AF6" s="60">
        <v>350</v>
      </c>
      <c r="AG6" s="60">
        <v>0</v>
      </c>
      <c r="AH6" s="61">
        <v>0</v>
      </c>
      <c r="AI6" s="54"/>
      <c r="AJ6" s="55"/>
    </row>
    <row r="7" spans="1:36" ht="16.5" customHeight="1" x14ac:dyDescent="0.3">
      <c r="A7" s="94"/>
      <c r="B7" s="98" t="s">
        <v>23</v>
      </c>
      <c r="C7" s="99"/>
      <c r="D7" s="39">
        <f t="shared" si="0"/>
        <v>138350</v>
      </c>
      <c r="E7" s="41">
        <v>2250</v>
      </c>
      <c r="F7" s="41">
        <v>8540</v>
      </c>
      <c r="G7" s="41">
        <v>2850</v>
      </c>
      <c r="H7" s="41">
        <v>2350</v>
      </c>
      <c r="I7" s="41">
        <v>4865</v>
      </c>
      <c r="J7" s="41">
        <v>10940</v>
      </c>
      <c r="K7" s="41">
        <v>4180</v>
      </c>
      <c r="L7" s="41">
        <v>2200</v>
      </c>
      <c r="M7" s="41">
        <v>2665</v>
      </c>
      <c r="N7" s="41">
        <v>6070</v>
      </c>
      <c r="O7" s="41">
        <v>1970</v>
      </c>
      <c r="P7" s="41">
        <v>2150</v>
      </c>
      <c r="Q7" s="41">
        <v>7165</v>
      </c>
      <c r="R7" s="43">
        <v>10620</v>
      </c>
      <c r="S7" s="43">
        <v>1800</v>
      </c>
      <c r="T7" s="43">
        <v>1390</v>
      </c>
      <c r="U7" s="43">
        <v>3365</v>
      </c>
      <c r="V7" s="43">
        <v>9470</v>
      </c>
      <c r="W7" s="43">
        <v>2850</v>
      </c>
      <c r="X7" s="60">
        <v>3250</v>
      </c>
      <c r="Y7" s="60">
        <v>6365</v>
      </c>
      <c r="Z7" s="60">
        <v>10620</v>
      </c>
      <c r="AA7" s="60">
        <v>2405</v>
      </c>
      <c r="AB7" s="60">
        <v>1150</v>
      </c>
      <c r="AC7" s="60">
        <v>3315</v>
      </c>
      <c r="AD7" s="60">
        <v>9185</v>
      </c>
      <c r="AE7" s="60">
        <v>3285</v>
      </c>
      <c r="AF7" s="60">
        <v>3250</v>
      </c>
      <c r="AG7" s="60">
        <v>3115</v>
      </c>
      <c r="AH7" s="60">
        <v>4720</v>
      </c>
      <c r="AI7" s="54"/>
      <c r="AJ7" s="54"/>
    </row>
    <row r="8" spans="1:36" ht="16.5" customHeight="1" x14ac:dyDescent="0.3">
      <c r="A8" s="94"/>
      <c r="B8" s="98" t="s">
        <v>25</v>
      </c>
      <c r="C8" s="99"/>
      <c r="D8" s="39">
        <f t="shared" si="0"/>
        <v>76650</v>
      </c>
      <c r="E8" s="41">
        <v>2969</v>
      </c>
      <c r="F8" s="41">
        <v>0</v>
      </c>
      <c r="G8" s="41">
        <v>3200</v>
      </c>
      <c r="H8" s="41">
        <v>2405</v>
      </c>
      <c r="I8" s="41">
        <v>3269</v>
      </c>
      <c r="J8" s="41">
        <v>0</v>
      </c>
      <c r="K8" s="41">
        <v>4300</v>
      </c>
      <c r="L8" s="41">
        <v>2235</v>
      </c>
      <c r="M8" s="41">
        <v>3269</v>
      </c>
      <c r="N8" s="41">
        <v>0</v>
      </c>
      <c r="O8" s="41">
        <v>3050</v>
      </c>
      <c r="P8" s="41">
        <v>3455</v>
      </c>
      <c r="Q8" s="41">
        <v>2419</v>
      </c>
      <c r="R8" s="43">
        <v>0</v>
      </c>
      <c r="S8" s="43">
        <v>3300</v>
      </c>
      <c r="T8" s="43">
        <v>5570</v>
      </c>
      <c r="U8" s="43">
        <v>3269</v>
      </c>
      <c r="V8" s="43">
        <v>0</v>
      </c>
      <c r="W8" s="43">
        <v>3700</v>
      </c>
      <c r="X8" s="60">
        <v>4820</v>
      </c>
      <c r="Y8" s="60">
        <v>4089</v>
      </c>
      <c r="Z8" s="60">
        <v>0</v>
      </c>
      <c r="AA8" s="60">
        <v>2950</v>
      </c>
      <c r="AB8" s="60">
        <v>1145</v>
      </c>
      <c r="AC8" s="60">
        <v>1719</v>
      </c>
      <c r="AD8" s="60">
        <v>4801</v>
      </c>
      <c r="AE8" s="60">
        <v>4200</v>
      </c>
      <c r="AF8" s="60">
        <v>4750</v>
      </c>
      <c r="AG8" s="60">
        <v>1766</v>
      </c>
      <c r="AH8" s="60">
        <v>0</v>
      </c>
      <c r="AI8" s="54"/>
      <c r="AJ8" s="54"/>
    </row>
    <row r="9" spans="1:36" ht="16.5" customHeight="1" x14ac:dyDescent="0.3">
      <c r="A9" s="94"/>
      <c r="B9" s="98" t="s">
        <v>29</v>
      </c>
      <c r="C9" s="99"/>
      <c r="D9" s="39">
        <f t="shared" si="0"/>
        <v>75213</v>
      </c>
      <c r="E9" s="41">
        <v>3340</v>
      </c>
      <c r="F9" s="41">
        <v>1500</v>
      </c>
      <c r="G9" s="41">
        <v>1810</v>
      </c>
      <c r="H9" s="41">
        <v>3480</v>
      </c>
      <c r="I9" s="41">
        <v>3740</v>
      </c>
      <c r="J9" s="41">
        <v>2100</v>
      </c>
      <c r="K9" s="41">
        <v>2650</v>
      </c>
      <c r="L9" s="41">
        <v>2880</v>
      </c>
      <c r="M9" s="41">
        <v>3740</v>
      </c>
      <c r="N9" s="41">
        <v>1850</v>
      </c>
      <c r="O9" s="41">
        <v>1710</v>
      </c>
      <c r="P9" s="41">
        <v>2603</v>
      </c>
      <c r="Q9" s="41">
        <v>3270</v>
      </c>
      <c r="R9" s="43">
        <v>2400</v>
      </c>
      <c r="S9" s="43">
        <v>1730</v>
      </c>
      <c r="T9" s="43">
        <v>2315</v>
      </c>
      <c r="U9" s="43">
        <v>3740</v>
      </c>
      <c r="V9" s="43">
        <v>2050</v>
      </c>
      <c r="W9" s="43">
        <v>1960</v>
      </c>
      <c r="X9" s="60">
        <v>4320</v>
      </c>
      <c r="Y9" s="60">
        <v>3740</v>
      </c>
      <c r="Z9" s="60">
        <v>2150</v>
      </c>
      <c r="AA9" s="60">
        <v>1665</v>
      </c>
      <c r="AB9" s="60">
        <v>810</v>
      </c>
      <c r="AC9" s="60">
        <v>1990</v>
      </c>
      <c r="AD9" s="60">
        <v>2255</v>
      </c>
      <c r="AE9" s="60">
        <v>2310</v>
      </c>
      <c r="AF9" s="60">
        <v>3305</v>
      </c>
      <c r="AG9" s="60">
        <v>1850</v>
      </c>
      <c r="AH9" s="60">
        <v>1950</v>
      </c>
      <c r="AI9" s="54"/>
      <c r="AJ9" s="54"/>
    </row>
    <row r="10" spans="1:36" ht="16.5" customHeight="1" x14ac:dyDescent="0.3">
      <c r="A10" s="94"/>
      <c r="B10" s="96" t="s">
        <v>92</v>
      </c>
      <c r="C10" s="97"/>
      <c r="D10" s="39">
        <f t="shared" si="0"/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40"/>
      <c r="AJ10" s="40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40"/>
      <c r="AJ11" s="40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40"/>
      <c r="AJ12" s="40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40"/>
      <c r="AJ13" s="40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40"/>
      <c r="AJ14" s="40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40"/>
      <c r="AJ15" s="40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40"/>
      <c r="AJ16" s="40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40"/>
      <c r="AJ17" s="40"/>
    </row>
    <row r="18" spans="1:36" ht="16.5" customHeight="1" x14ac:dyDescent="0.3">
      <c r="A18" s="94"/>
      <c r="B18" s="98" t="s">
        <v>1</v>
      </c>
      <c r="C18" s="99"/>
      <c r="D18" s="39">
        <f t="shared" si="0"/>
        <v>144818</v>
      </c>
      <c r="E18" s="41">
        <v>4580</v>
      </c>
      <c r="F18" s="41">
        <v>5211</v>
      </c>
      <c r="G18" s="41">
        <v>4630</v>
      </c>
      <c r="H18" s="41">
        <v>3890</v>
      </c>
      <c r="I18" s="41">
        <v>5330</v>
      </c>
      <c r="J18" s="41">
        <v>6751</v>
      </c>
      <c r="K18" s="41">
        <v>6480</v>
      </c>
      <c r="L18" s="41">
        <v>3940</v>
      </c>
      <c r="M18" s="41">
        <v>5450</v>
      </c>
      <c r="N18" s="41">
        <v>4151</v>
      </c>
      <c r="O18" s="41">
        <v>4610</v>
      </c>
      <c r="P18" s="41">
        <v>3940</v>
      </c>
      <c r="Q18" s="41">
        <v>6260</v>
      </c>
      <c r="R18" s="43">
        <v>7051</v>
      </c>
      <c r="S18" s="43">
        <v>4105</v>
      </c>
      <c r="T18" s="43">
        <v>3175</v>
      </c>
      <c r="U18" s="43">
        <v>5580</v>
      </c>
      <c r="V18" s="43">
        <v>5251</v>
      </c>
      <c r="W18" s="43">
        <v>5230</v>
      </c>
      <c r="X18" s="60">
        <v>5400</v>
      </c>
      <c r="Y18" s="60">
        <v>7380</v>
      </c>
      <c r="Z18" s="60">
        <v>5331</v>
      </c>
      <c r="AA18" s="60">
        <v>4295</v>
      </c>
      <c r="AB18" s="60">
        <v>1035</v>
      </c>
      <c r="AC18" s="60">
        <v>2750</v>
      </c>
      <c r="AD18" s="60">
        <v>4801</v>
      </c>
      <c r="AE18" s="60">
        <v>5455</v>
      </c>
      <c r="AF18" s="60">
        <v>7055</v>
      </c>
      <c r="AG18" s="60">
        <v>3050</v>
      </c>
      <c r="AH18" s="60">
        <v>2651</v>
      </c>
      <c r="AI18" s="54"/>
      <c r="AJ18" s="54"/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4"/>
      <c r="AJ19" s="54"/>
    </row>
    <row r="20" spans="1:36" ht="16.5" customHeight="1" x14ac:dyDescent="0.3">
      <c r="A20" s="94"/>
      <c r="B20" s="98" t="s">
        <v>16</v>
      </c>
      <c r="C20" s="99"/>
      <c r="D20" s="39">
        <f t="shared" si="0"/>
        <v>14779</v>
      </c>
      <c r="E20" s="41">
        <v>365</v>
      </c>
      <c r="F20" s="41">
        <v>290</v>
      </c>
      <c r="G20" s="41">
        <v>920</v>
      </c>
      <c r="H20" s="41">
        <v>1115</v>
      </c>
      <c r="I20" s="41">
        <v>175</v>
      </c>
      <c r="J20" s="41">
        <v>380</v>
      </c>
      <c r="K20" s="41">
        <v>1260</v>
      </c>
      <c r="L20" s="41">
        <v>1045</v>
      </c>
      <c r="M20" s="41">
        <v>175</v>
      </c>
      <c r="N20" s="41">
        <v>220</v>
      </c>
      <c r="O20" s="41">
        <v>440</v>
      </c>
      <c r="P20" s="41">
        <v>798</v>
      </c>
      <c r="Q20" s="41">
        <v>175</v>
      </c>
      <c r="R20" s="43">
        <v>320</v>
      </c>
      <c r="S20" s="43">
        <v>490</v>
      </c>
      <c r="T20" s="43">
        <v>666</v>
      </c>
      <c r="U20" s="43">
        <v>175</v>
      </c>
      <c r="V20" s="43">
        <v>250</v>
      </c>
      <c r="W20" s="43">
        <v>1080</v>
      </c>
      <c r="X20" s="60">
        <v>1745</v>
      </c>
      <c r="Y20" s="60">
        <v>125</v>
      </c>
      <c r="Z20" s="60">
        <v>200</v>
      </c>
      <c r="AA20" s="60">
        <v>570</v>
      </c>
      <c r="AB20" s="60">
        <v>193</v>
      </c>
      <c r="AC20" s="60">
        <v>125</v>
      </c>
      <c r="AD20" s="60">
        <v>0</v>
      </c>
      <c r="AE20" s="60">
        <v>780</v>
      </c>
      <c r="AF20" s="60">
        <v>427</v>
      </c>
      <c r="AG20" s="60">
        <v>155</v>
      </c>
      <c r="AH20" s="60">
        <v>120</v>
      </c>
      <c r="AI20" s="54"/>
      <c r="AJ20" s="54"/>
    </row>
    <row r="21" spans="1:36" ht="16.5" customHeight="1" x14ac:dyDescent="0.3">
      <c r="A21" s="94"/>
      <c r="B21" s="98" t="s">
        <v>10</v>
      </c>
      <c r="C21" s="99"/>
      <c r="D21" s="39">
        <f t="shared" si="0"/>
        <v>5528</v>
      </c>
      <c r="E21" s="41">
        <v>255</v>
      </c>
      <c r="F21" s="41">
        <v>109</v>
      </c>
      <c r="G21" s="41">
        <v>110</v>
      </c>
      <c r="H21" s="41">
        <v>210</v>
      </c>
      <c r="I21" s="41">
        <v>180</v>
      </c>
      <c r="J21" s="41">
        <v>189</v>
      </c>
      <c r="K21" s="41">
        <v>200</v>
      </c>
      <c r="L21" s="41">
        <v>210</v>
      </c>
      <c r="M21" s="41">
        <v>180</v>
      </c>
      <c r="N21" s="41">
        <v>129</v>
      </c>
      <c r="O21" s="41">
        <v>124</v>
      </c>
      <c r="P21" s="41">
        <v>271</v>
      </c>
      <c r="Q21" s="41">
        <v>270</v>
      </c>
      <c r="R21" s="43">
        <v>199</v>
      </c>
      <c r="S21" s="43">
        <v>141</v>
      </c>
      <c r="T21" s="43">
        <v>209</v>
      </c>
      <c r="U21" s="43">
        <v>180</v>
      </c>
      <c r="V21" s="43">
        <v>149</v>
      </c>
      <c r="W21" s="43">
        <v>170</v>
      </c>
      <c r="X21" s="60">
        <v>250</v>
      </c>
      <c r="Y21" s="60">
        <v>330</v>
      </c>
      <c r="Z21" s="60">
        <v>119</v>
      </c>
      <c r="AA21" s="60">
        <v>142</v>
      </c>
      <c r="AB21" s="60">
        <v>104</v>
      </c>
      <c r="AC21" s="60">
        <v>150</v>
      </c>
      <c r="AD21" s="60">
        <v>120</v>
      </c>
      <c r="AE21" s="60">
        <v>211</v>
      </c>
      <c r="AF21" s="60">
        <v>328</v>
      </c>
      <c r="AG21" s="60">
        <v>180</v>
      </c>
      <c r="AH21" s="60">
        <v>109</v>
      </c>
      <c r="AI21" s="54"/>
      <c r="AJ21" s="54"/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4"/>
      <c r="AJ22" s="54"/>
    </row>
    <row r="23" spans="1:36" ht="16.5" customHeight="1" x14ac:dyDescent="0.3">
      <c r="A23" s="88" t="s">
        <v>4</v>
      </c>
      <c r="B23" s="89"/>
      <c r="C23" s="90"/>
      <c r="D23" s="39">
        <f t="shared" si="0"/>
        <v>456248</v>
      </c>
      <c r="E23" s="46">
        <f t="shared" ref="E23:AJ23" si="1">SUM(E6:E22)</f>
        <v>13759</v>
      </c>
      <c r="F23" s="46">
        <f t="shared" si="1"/>
        <v>15650</v>
      </c>
      <c r="G23" s="46">
        <f t="shared" si="1"/>
        <v>13520</v>
      </c>
      <c r="H23" s="46">
        <f t="shared" si="1"/>
        <v>13450</v>
      </c>
      <c r="I23" s="46">
        <f t="shared" si="1"/>
        <v>17559</v>
      </c>
      <c r="J23" s="46">
        <f t="shared" si="1"/>
        <v>20360</v>
      </c>
      <c r="K23" s="46">
        <f t="shared" si="1"/>
        <v>19070</v>
      </c>
      <c r="L23" s="46">
        <f t="shared" si="1"/>
        <v>12510</v>
      </c>
      <c r="M23" s="46">
        <f t="shared" si="1"/>
        <v>15479</v>
      </c>
      <c r="N23" s="46">
        <f t="shared" si="1"/>
        <v>12420</v>
      </c>
      <c r="O23" s="46">
        <f t="shared" si="1"/>
        <v>11904</v>
      </c>
      <c r="P23" s="46">
        <f t="shared" si="1"/>
        <v>13327</v>
      </c>
      <c r="Q23" s="46">
        <f t="shared" si="1"/>
        <v>19559</v>
      </c>
      <c r="R23" s="46">
        <f t="shared" si="1"/>
        <v>20590</v>
      </c>
      <c r="S23" s="46">
        <f t="shared" si="1"/>
        <v>11566</v>
      </c>
      <c r="T23" s="46">
        <f t="shared" si="1"/>
        <v>13625</v>
      </c>
      <c r="U23" s="46">
        <f t="shared" si="1"/>
        <v>16309</v>
      </c>
      <c r="V23" s="46">
        <f t="shared" si="1"/>
        <v>17170</v>
      </c>
      <c r="W23" s="46">
        <f t="shared" si="1"/>
        <v>14990</v>
      </c>
      <c r="X23" s="62">
        <f t="shared" si="1"/>
        <v>19785</v>
      </c>
      <c r="Y23" s="62">
        <f t="shared" si="1"/>
        <v>22029</v>
      </c>
      <c r="Z23" s="62">
        <f t="shared" si="1"/>
        <v>18420</v>
      </c>
      <c r="AA23" s="62">
        <f t="shared" si="1"/>
        <v>12027</v>
      </c>
      <c r="AB23" s="62">
        <f t="shared" si="1"/>
        <v>4587</v>
      </c>
      <c r="AC23" s="62">
        <f t="shared" si="1"/>
        <v>10049</v>
      </c>
      <c r="AD23" s="62">
        <f t="shared" si="1"/>
        <v>21162</v>
      </c>
      <c r="AE23" s="62">
        <f t="shared" si="1"/>
        <v>16241</v>
      </c>
      <c r="AF23" s="62">
        <f t="shared" si="1"/>
        <v>19465</v>
      </c>
      <c r="AG23" s="62">
        <f t="shared" si="1"/>
        <v>10116</v>
      </c>
      <c r="AH23" s="62">
        <f t="shared" si="1"/>
        <v>9550</v>
      </c>
      <c r="AI23" s="35">
        <f t="shared" si="1"/>
        <v>0</v>
      </c>
      <c r="AJ23" s="35">
        <f t="shared" si="1"/>
        <v>0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1"/>
      <c r="F24" s="41"/>
      <c r="G24" s="4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4"/>
      <c r="AJ24" s="54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1"/>
      <c r="F25" s="41"/>
      <c r="G25" s="4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4"/>
      <c r="AJ25" s="54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1"/>
      <c r="F26" s="41"/>
      <c r="G26" s="4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4"/>
      <c r="AJ26" s="54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1"/>
      <c r="F27" s="41"/>
      <c r="G27" s="4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4"/>
      <c r="AJ27" s="54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1"/>
      <c r="F28" s="41"/>
      <c r="G28" s="4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4"/>
      <c r="AJ28" s="54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1"/>
      <c r="F29" s="41"/>
      <c r="G29" s="4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4"/>
      <c r="AJ29" s="54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1"/>
      <c r="F30" s="41"/>
      <c r="G30" s="4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4"/>
      <c r="AJ30" s="54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1"/>
      <c r="F31" s="41"/>
      <c r="G31" s="4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4"/>
      <c r="AJ31" s="54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1"/>
      <c r="F32" s="41"/>
      <c r="G32" s="4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4"/>
      <c r="AJ32" s="54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1"/>
      <c r="F33" s="41"/>
      <c r="G33" s="4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4"/>
      <c r="AJ33" s="54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1"/>
      <c r="F34" s="41"/>
      <c r="G34" s="4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4"/>
      <c r="AJ34" s="54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1"/>
      <c r="F35" s="41"/>
      <c r="G35" s="4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4"/>
      <c r="AJ35" s="54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1"/>
      <c r="F36" s="41"/>
      <c r="G36" s="4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4"/>
      <c r="AJ36" s="54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1"/>
      <c r="F37" s="41"/>
      <c r="G37" s="4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4"/>
      <c r="AJ37" s="54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1"/>
      <c r="F38" s="41"/>
      <c r="G38" s="4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54"/>
      <c r="AJ38" s="54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1"/>
      <c r="F39" s="41"/>
      <c r="G39" s="4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4"/>
      <c r="AJ39" s="54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1"/>
      <c r="F40" s="41"/>
      <c r="G40" s="4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4"/>
      <c r="AJ40" s="54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1"/>
      <c r="F41" s="41"/>
      <c r="G41" s="4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54"/>
      <c r="AJ41" s="54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1"/>
      <c r="F42" s="41"/>
      <c r="G42" s="4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54"/>
      <c r="AJ42" s="54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1"/>
      <c r="F43" s="41"/>
      <c r="G43" s="4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54"/>
      <c r="AJ43" s="54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1"/>
      <c r="F44" s="41"/>
      <c r="G44" s="4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54"/>
      <c r="AJ44" s="54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1"/>
      <c r="F45" s="41"/>
      <c r="G45" s="4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54"/>
      <c r="AJ45" s="54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1"/>
      <c r="F46" s="41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40"/>
      <c r="AJ46" s="40"/>
    </row>
    <row r="47" spans="1:36" x14ac:dyDescent="0.3">
      <c r="A47" s="95"/>
      <c r="B47" s="95"/>
      <c r="C47" s="47" t="s">
        <v>15</v>
      </c>
      <c r="D47" s="39">
        <f>SUM(E47:AH47)</f>
        <v>114510</v>
      </c>
      <c r="E47" s="41">
        <v>4356</v>
      </c>
      <c r="F47" s="41">
        <v>3580</v>
      </c>
      <c r="G47" s="41">
        <v>4186</v>
      </c>
      <c r="H47" s="41">
        <v>4190</v>
      </c>
      <c r="I47" s="41">
        <v>3166</v>
      </c>
      <c r="J47" s="41">
        <v>4980</v>
      </c>
      <c r="K47" s="41">
        <v>6630</v>
      </c>
      <c r="L47" s="41">
        <v>4190</v>
      </c>
      <c r="M47" s="41">
        <v>3166</v>
      </c>
      <c r="N47" s="41">
        <v>3880</v>
      </c>
      <c r="O47" s="41">
        <v>4250</v>
      </c>
      <c r="P47" s="41">
        <v>2960</v>
      </c>
      <c r="Q47" s="41">
        <v>2866</v>
      </c>
      <c r="R47" s="43">
        <v>4680</v>
      </c>
      <c r="S47" s="43">
        <v>4300</v>
      </c>
      <c r="T47" s="43">
        <v>2860</v>
      </c>
      <c r="U47" s="43">
        <v>3186</v>
      </c>
      <c r="V47" s="43">
        <v>3480</v>
      </c>
      <c r="W47" s="43">
        <v>4986</v>
      </c>
      <c r="X47" s="60">
        <v>5710</v>
      </c>
      <c r="Y47" s="60">
        <v>3186</v>
      </c>
      <c r="Z47" s="60">
        <v>3580</v>
      </c>
      <c r="AA47" s="60">
        <v>4275</v>
      </c>
      <c r="AB47" s="60">
        <v>1540</v>
      </c>
      <c r="AC47" s="60">
        <v>2606</v>
      </c>
      <c r="AD47" s="60">
        <v>2950</v>
      </c>
      <c r="AE47" s="60">
        <v>5295</v>
      </c>
      <c r="AF47" s="60">
        <v>3790</v>
      </c>
      <c r="AG47" s="60">
        <v>2606</v>
      </c>
      <c r="AH47" s="60">
        <v>3080</v>
      </c>
      <c r="AI47" s="54"/>
      <c r="AJ47" s="54"/>
    </row>
    <row r="48" spans="1:36" ht="16.5" customHeight="1" x14ac:dyDescent="0.3">
      <c r="A48" s="88" t="s">
        <v>4</v>
      </c>
      <c r="B48" s="89"/>
      <c r="C48" s="90"/>
      <c r="D48" s="39">
        <f>SUM(E48:AH48)</f>
        <v>114510</v>
      </c>
      <c r="E48" s="50">
        <f t="shared" ref="E48:AJ48" si="3">SUM(E46:E47)</f>
        <v>4356</v>
      </c>
      <c r="F48" s="50">
        <f t="shared" si="3"/>
        <v>3580</v>
      </c>
      <c r="G48" s="50">
        <f t="shared" si="3"/>
        <v>4186</v>
      </c>
      <c r="H48" s="50">
        <f t="shared" si="3"/>
        <v>4190</v>
      </c>
      <c r="I48" s="50">
        <f t="shared" si="3"/>
        <v>3166</v>
      </c>
      <c r="J48" s="50">
        <f t="shared" si="3"/>
        <v>4980</v>
      </c>
      <c r="K48" s="50">
        <f t="shared" si="3"/>
        <v>6630</v>
      </c>
      <c r="L48" s="50">
        <f t="shared" si="3"/>
        <v>4190</v>
      </c>
      <c r="M48" s="50">
        <f t="shared" si="3"/>
        <v>3166</v>
      </c>
      <c r="N48" s="50">
        <f t="shared" si="3"/>
        <v>3880</v>
      </c>
      <c r="O48" s="50">
        <f t="shared" si="3"/>
        <v>4250</v>
      </c>
      <c r="P48" s="50">
        <f t="shared" si="3"/>
        <v>2960</v>
      </c>
      <c r="Q48" s="50">
        <f t="shared" si="3"/>
        <v>2866</v>
      </c>
      <c r="R48" s="50">
        <f t="shared" si="3"/>
        <v>4680</v>
      </c>
      <c r="S48" s="50">
        <f t="shared" si="3"/>
        <v>4300</v>
      </c>
      <c r="T48" s="50">
        <f t="shared" si="3"/>
        <v>2860</v>
      </c>
      <c r="U48" s="50">
        <f t="shared" si="3"/>
        <v>3186</v>
      </c>
      <c r="V48" s="50">
        <f t="shared" si="3"/>
        <v>3480</v>
      </c>
      <c r="W48" s="50">
        <f t="shared" si="3"/>
        <v>4986</v>
      </c>
      <c r="X48" s="64">
        <f t="shared" si="3"/>
        <v>5710</v>
      </c>
      <c r="Y48" s="64">
        <f t="shared" si="3"/>
        <v>3186</v>
      </c>
      <c r="Z48" s="64">
        <f t="shared" si="3"/>
        <v>3580</v>
      </c>
      <c r="AA48" s="64">
        <f t="shared" si="3"/>
        <v>4275</v>
      </c>
      <c r="AB48" s="64">
        <f t="shared" si="3"/>
        <v>1540</v>
      </c>
      <c r="AC48" s="64">
        <f t="shared" si="3"/>
        <v>2606</v>
      </c>
      <c r="AD48" s="64">
        <f t="shared" si="3"/>
        <v>2950</v>
      </c>
      <c r="AE48" s="64">
        <f t="shared" si="3"/>
        <v>5295</v>
      </c>
      <c r="AF48" s="64">
        <f t="shared" si="3"/>
        <v>3790</v>
      </c>
      <c r="AG48" s="64">
        <f t="shared" si="3"/>
        <v>2606</v>
      </c>
      <c r="AH48" s="64">
        <f t="shared" si="3"/>
        <v>3080</v>
      </c>
      <c r="AI48" s="49">
        <f t="shared" si="3"/>
        <v>0</v>
      </c>
      <c r="AJ48" s="49">
        <f t="shared" si="3"/>
        <v>0</v>
      </c>
    </row>
    <row r="49" spans="1:36" ht="16.5" customHeight="1" x14ac:dyDescent="0.3">
      <c r="A49" s="100" t="s">
        <v>5</v>
      </c>
      <c r="B49" s="101"/>
      <c r="C49" s="102"/>
      <c r="D49" s="51">
        <f>SUM(E49:AH49)</f>
        <v>570758</v>
      </c>
      <c r="E49" s="52">
        <f t="shared" ref="E49:AJ49" si="4">SUM(E23,E48)</f>
        <v>18115</v>
      </c>
      <c r="F49" s="52">
        <f t="shared" si="4"/>
        <v>19230</v>
      </c>
      <c r="G49" s="52">
        <f t="shared" si="4"/>
        <v>17706</v>
      </c>
      <c r="H49" s="52">
        <f t="shared" si="4"/>
        <v>17640</v>
      </c>
      <c r="I49" s="52">
        <f t="shared" si="4"/>
        <v>20725</v>
      </c>
      <c r="J49" s="52">
        <f t="shared" si="4"/>
        <v>25340</v>
      </c>
      <c r="K49" s="52">
        <f t="shared" si="4"/>
        <v>25700</v>
      </c>
      <c r="L49" s="52">
        <f t="shared" si="4"/>
        <v>16700</v>
      </c>
      <c r="M49" s="52">
        <f t="shared" si="4"/>
        <v>18645</v>
      </c>
      <c r="N49" s="52">
        <f t="shared" si="4"/>
        <v>16300</v>
      </c>
      <c r="O49" s="52">
        <f t="shared" si="4"/>
        <v>16154</v>
      </c>
      <c r="P49" s="52">
        <f t="shared" si="4"/>
        <v>16287</v>
      </c>
      <c r="Q49" s="52">
        <f t="shared" si="4"/>
        <v>22425</v>
      </c>
      <c r="R49" s="52">
        <f t="shared" si="4"/>
        <v>25270</v>
      </c>
      <c r="S49" s="52">
        <f t="shared" si="4"/>
        <v>15866</v>
      </c>
      <c r="T49" s="52">
        <f t="shared" si="4"/>
        <v>16485</v>
      </c>
      <c r="U49" s="52">
        <f t="shared" si="4"/>
        <v>19495</v>
      </c>
      <c r="V49" s="52">
        <f t="shared" si="4"/>
        <v>20650</v>
      </c>
      <c r="W49" s="52">
        <f t="shared" si="4"/>
        <v>19976</v>
      </c>
      <c r="X49" s="65">
        <f t="shared" si="4"/>
        <v>25495</v>
      </c>
      <c r="Y49" s="65">
        <f t="shared" si="4"/>
        <v>25215</v>
      </c>
      <c r="Z49" s="65">
        <f t="shared" si="4"/>
        <v>22000</v>
      </c>
      <c r="AA49" s="65">
        <f t="shared" si="4"/>
        <v>16302</v>
      </c>
      <c r="AB49" s="65">
        <f t="shared" si="4"/>
        <v>6127</v>
      </c>
      <c r="AC49" s="65">
        <f t="shared" si="4"/>
        <v>12655</v>
      </c>
      <c r="AD49" s="65">
        <f t="shared" si="4"/>
        <v>24112</v>
      </c>
      <c r="AE49" s="65">
        <f t="shared" si="4"/>
        <v>21536</v>
      </c>
      <c r="AF49" s="65">
        <f t="shared" si="4"/>
        <v>23255</v>
      </c>
      <c r="AG49" s="65">
        <f t="shared" si="4"/>
        <v>12722</v>
      </c>
      <c r="AH49" s="65">
        <f t="shared" si="4"/>
        <v>12630</v>
      </c>
      <c r="AI49" s="51">
        <f t="shared" si="4"/>
        <v>0</v>
      </c>
      <c r="AJ49" s="51">
        <f t="shared" si="4"/>
        <v>0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4" sqref="E54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108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56</v>
      </c>
      <c r="F4" s="36" t="s">
        <v>79</v>
      </c>
      <c r="G4" s="36" t="s">
        <v>80</v>
      </c>
      <c r="H4" s="36" t="s">
        <v>81</v>
      </c>
      <c r="I4" s="36" t="s">
        <v>75</v>
      </c>
      <c r="J4" s="36" t="s">
        <v>76</v>
      </c>
      <c r="K4" s="36" t="s">
        <v>77</v>
      </c>
      <c r="L4" s="36" t="s">
        <v>78</v>
      </c>
      <c r="M4" s="36" t="s">
        <v>79</v>
      </c>
      <c r="N4" s="36" t="s">
        <v>80</v>
      </c>
      <c r="O4" s="36" t="s">
        <v>81</v>
      </c>
      <c r="P4" s="36" t="s">
        <v>75</v>
      </c>
      <c r="Q4" s="36" t="s">
        <v>76</v>
      </c>
      <c r="R4" s="36" t="s">
        <v>77</v>
      </c>
      <c r="S4" s="36" t="s">
        <v>78</v>
      </c>
      <c r="T4" s="36" t="s">
        <v>79</v>
      </c>
      <c r="U4" s="36" t="s">
        <v>80</v>
      </c>
      <c r="V4" s="36" t="s">
        <v>81</v>
      </c>
      <c r="W4" s="36" t="s">
        <v>75</v>
      </c>
      <c r="X4" s="36" t="s">
        <v>76</v>
      </c>
      <c r="Y4" s="36" t="s">
        <v>77</v>
      </c>
      <c r="Z4" s="36" t="s">
        <v>78</v>
      </c>
      <c r="AA4" s="36" t="s">
        <v>79</v>
      </c>
      <c r="AB4" s="36" t="s">
        <v>80</v>
      </c>
      <c r="AC4" s="36" t="s">
        <v>81</v>
      </c>
      <c r="AD4" s="36" t="s">
        <v>75</v>
      </c>
      <c r="AE4" s="36" t="s">
        <v>76</v>
      </c>
      <c r="AF4" s="36" t="s">
        <v>77</v>
      </c>
      <c r="AG4" s="36" t="s">
        <v>78</v>
      </c>
      <c r="AH4" s="36" t="s">
        <v>79</v>
      </c>
      <c r="AI4" s="36" t="s">
        <v>80</v>
      </c>
      <c r="AJ4" s="36" t="s">
        <v>58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66</v>
      </c>
      <c r="F5" s="38" t="s">
        <v>65</v>
      </c>
      <c r="G5" s="38" t="s">
        <v>109</v>
      </c>
      <c r="H5" s="38" t="s">
        <v>65</v>
      </c>
      <c r="I5" s="38" t="s">
        <v>73</v>
      </c>
      <c r="J5" s="38" t="s">
        <v>66</v>
      </c>
      <c r="K5" s="38" t="s">
        <v>65</v>
      </c>
      <c r="L5" s="38" t="s">
        <v>65</v>
      </c>
      <c r="M5" s="38" t="s">
        <v>65</v>
      </c>
      <c r="N5" s="38" t="s">
        <v>110</v>
      </c>
      <c r="O5" s="38" t="s">
        <v>65</v>
      </c>
      <c r="P5" s="38" t="s">
        <v>91</v>
      </c>
      <c r="Q5" s="38" t="s">
        <v>111</v>
      </c>
      <c r="R5" s="38" t="s">
        <v>95</v>
      </c>
      <c r="S5" s="38" t="s">
        <v>65</v>
      </c>
      <c r="T5" s="38" t="s">
        <v>65</v>
      </c>
      <c r="U5" s="38" t="s">
        <v>95</v>
      </c>
      <c r="V5" s="38" t="s">
        <v>73</v>
      </c>
      <c r="W5" s="38" t="s">
        <v>99</v>
      </c>
      <c r="X5" s="38" t="s">
        <v>99</v>
      </c>
      <c r="Y5" s="38" t="s">
        <v>66</v>
      </c>
      <c r="Z5" s="38" t="s">
        <v>68</v>
      </c>
      <c r="AA5" s="38" t="s">
        <v>98</v>
      </c>
      <c r="AB5" s="38" t="s">
        <v>95</v>
      </c>
      <c r="AC5" s="38" t="s">
        <v>95</v>
      </c>
      <c r="AD5" s="38" t="s">
        <v>94</v>
      </c>
      <c r="AE5" s="38" t="s">
        <v>98</v>
      </c>
      <c r="AF5" s="38" t="s">
        <v>68</v>
      </c>
      <c r="AG5" s="38" t="s">
        <v>68</v>
      </c>
      <c r="AH5" s="38" t="s">
        <v>66</v>
      </c>
      <c r="AI5" s="53"/>
      <c r="AJ5" s="38" t="s">
        <v>99</v>
      </c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5870</v>
      </c>
      <c r="E6" s="41">
        <v>0</v>
      </c>
      <c r="F6" s="41">
        <v>300</v>
      </c>
      <c r="G6" s="41">
        <v>0</v>
      </c>
      <c r="H6" s="41">
        <v>0</v>
      </c>
      <c r="I6" s="41">
        <v>0</v>
      </c>
      <c r="J6" s="41">
        <v>500</v>
      </c>
      <c r="K6" s="41">
        <v>0</v>
      </c>
      <c r="L6" s="41">
        <v>120</v>
      </c>
      <c r="M6" s="41">
        <v>0</v>
      </c>
      <c r="N6" s="41">
        <v>1100</v>
      </c>
      <c r="O6" s="42">
        <v>0</v>
      </c>
      <c r="P6" s="41">
        <v>120</v>
      </c>
      <c r="Q6" s="41">
        <v>0</v>
      </c>
      <c r="R6" s="43">
        <v>1100</v>
      </c>
      <c r="S6" s="43">
        <v>0</v>
      </c>
      <c r="T6" s="43">
        <v>120</v>
      </c>
      <c r="U6" s="43">
        <v>0</v>
      </c>
      <c r="V6" s="43">
        <v>1000</v>
      </c>
      <c r="W6" s="43">
        <v>0</v>
      </c>
      <c r="X6" s="43">
        <v>120</v>
      </c>
      <c r="Y6" s="43">
        <v>0</v>
      </c>
      <c r="Z6" s="43">
        <v>350</v>
      </c>
      <c r="AA6" s="43">
        <v>0</v>
      </c>
      <c r="AB6" s="43">
        <v>120</v>
      </c>
      <c r="AC6" s="43">
        <v>0</v>
      </c>
      <c r="AD6" s="43">
        <v>350</v>
      </c>
      <c r="AE6" s="43">
        <v>0</v>
      </c>
      <c r="AF6" s="43">
        <v>120</v>
      </c>
      <c r="AG6" s="43">
        <v>0</v>
      </c>
      <c r="AH6" s="44">
        <v>450</v>
      </c>
      <c r="AI6" s="43"/>
      <c r="AJ6" s="44">
        <v>0</v>
      </c>
    </row>
    <row r="7" spans="1:36" ht="16.5" customHeight="1" x14ac:dyDescent="0.3">
      <c r="A7" s="94"/>
      <c r="B7" s="98" t="s">
        <v>23</v>
      </c>
      <c r="C7" s="99"/>
      <c r="D7" s="39">
        <f t="shared" si="0"/>
        <v>79083</v>
      </c>
      <c r="E7" s="41">
        <v>2990</v>
      </c>
      <c r="F7" s="41">
        <v>2103</v>
      </c>
      <c r="G7" s="41">
        <v>3315</v>
      </c>
      <c r="H7" s="41">
        <v>12520</v>
      </c>
      <c r="I7" s="41">
        <v>4250</v>
      </c>
      <c r="J7" s="41">
        <v>1753</v>
      </c>
      <c r="K7" s="41">
        <v>490</v>
      </c>
      <c r="L7" s="41">
        <v>6600</v>
      </c>
      <c r="M7" s="41">
        <v>0</v>
      </c>
      <c r="N7" s="41">
        <v>1303</v>
      </c>
      <c r="O7" s="41">
        <v>3300</v>
      </c>
      <c r="P7" s="41">
        <v>8400</v>
      </c>
      <c r="Q7" s="41">
        <v>500</v>
      </c>
      <c r="R7" s="43">
        <v>1303</v>
      </c>
      <c r="S7" s="43">
        <v>1400</v>
      </c>
      <c r="T7" s="43">
        <v>2900</v>
      </c>
      <c r="U7" s="43">
        <v>980</v>
      </c>
      <c r="V7" s="43">
        <v>1790</v>
      </c>
      <c r="W7" s="43">
        <v>1300</v>
      </c>
      <c r="X7" s="43">
        <v>3000</v>
      </c>
      <c r="Y7" s="43">
        <v>1820</v>
      </c>
      <c r="Z7" s="43">
        <v>1303</v>
      </c>
      <c r="AA7" s="43">
        <v>1600</v>
      </c>
      <c r="AB7" s="43">
        <v>2200</v>
      </c>
      <c r="AC7" s="43">
        <v>2340</v>
      </c>
      <c r="AD7" s="43">
        <v>3503</v>
      </c>
      <c r="AE7" s="43">
        <v>1600</v>
      </c>
      <c r="AF7" s="43">
        <v>2300</v>
      </c>
      <c r="AG7" s="43">
        <v>980</v>
      </c>
      <c r="AH7" s="43">
        <v>1240</v>
      </c>
      <c r="AI7" s="43"/>
      <c r="AJ7" s="43">
        <v>1600</v>
      </c>
    </row>
    <row r="8" spans="1:36" ht="16.5" customHeight="1" x14ac:dyDescent="0.3">
      <c r="A8" s="94"/>
      <c r="B8" s="98" t="s">
        <v>25</v>
      </c>
      <c r="C8" s="99"/>
      <c r="D8" s="39">
        <f t="shared" si="0"/>
        <v>88232</v>
      </c>
      <c r="E8" s="41">
        <v>3400</v>
      </c>
      <c r="F8" s="41">
        <v>3920</v>
      </c>
      <c r="G8" s="41">
        <v>1766</v>
      </c>
      <c r="H8" s="41">
        <v>0</v>
      </c>
      <c r="I8" s="41">
        <v>4250</v>
      </c>
      <c r="J8" s="41">
        <v>3920</v>
      </c>
      <c r="K8" s="41">
        <v>3166</v>
      </c>
      <c r="L8" s="41">
        <v>620</v>
      </c>
      <c r="M8" s="41">
        <v>3200</v>
      </c>
      <c r="N8" s="41">
        <v>4440</v>
      </c>
      <c r="O8" s="41">
        <v>3866</v>
      </c>
      <c r="P8" s="41">
        <v>620</v>
      </c>
      <c r="Q8" s="41">
        <v>2850</v>
      </c>
      <c r="R8" s="43">
        <v>4440</v>
      </c>
      <c r="S8" s="43">
        <v>3766</v>
      </c>
      <c r="T8" s="43">
        <v>620</v>
      </c>
      <c r="U8" s="43">
        <v>3850</v>
      </c>
      <c r="V8" s="43">
        <v>10690</v>
      </c>
      <c r="W8" s="43">
        <v>2256</v>
      </c>
      <c r="X8" s="43">
        <v>620</v>
      </c>
      <c r="Y8" s="43">
        <v>3750</v>
      </c>
      <c r="Z8" s="43">
        <v>2420</v>
      </c>
      <c r="AA8" s="43">
        <v>1566</v>
      </c>
      <c r="AB8" s="43">
        <v>1320</v>
      </c>
      <c r="AC8" s="43">
        <v>4350</v>
      </c>
      <c r="AD8" s="43">
        <v>3340</v>
      </c>
      <c r="AE8" s="43">
        <v>1666</v>
      </c>
      <c r="AF8" s="43">
        <v>1320</v>
      </c>
      <c r="AG8" s="43">
        <v>2650</v>
      </c>
      <c r="AH8" s="43">
        <v>3590</v>
      </c>
      <c r="AI8" s="43"/>
      <c r="AJ8" s="43">
        <v>1666</v>
      </c>
    </row>
    <row r="9" spans="1:36" ht="16.5" customHeight="1" x14ac:dyDescent="0.3">
      <c r="A9" s="94"/>
      <c r="B9" s="98" t="s">
        <v>29</v>
      </c>
      <c r="C9" s="99"/>
      <c r="D9" s="39">
        <f t="shared" si="0"/>
        <v>65235</v>
      </c>
      <c r="E9" s="41">
        <v>1990</v>
      </c>
      <c r="F9" s="41">
        <v>2390</v>
      </c>
      <c r="G9" s="41">
        <v>1850</v>
      </c>
      <c r="H9" s="41">
        <v>2200</v>
      </c>
      <c r="I9" s="41">
        <v>2680</v>
      </c>
      <c r="J9" s="41">
        <v>2530</v>
      </c>
      <c r="K9" s="41">
        <v>2350</v>
      </c>
      <c r="L9" s="41">
        <v>2590</v>
      </c>
      <c r="M9" s="41">
        <v>620</v>
      </c>
      <c r="N9" s="41">
        <v>3220</v>
      </c>
      <c r="O9" s="41">
        <v>4100</v>
      </c>
      <c r="P9" s="41">
        <v>2890</v>
      </c>
      <c r="Q9" s="41">
        <v>420</v>
      </c>
      <c r="R9" s="43">
        <v>3220</v>
      </c>
      <c r="S9" s="43">
        <v>3800</v>
      </c>
      <c r="T9" s="43">
        <v>1590</v>
      </c>
      <c r="U9" s="43">
        <v>710</v>
      </c>
      <c r="V9" s="43">
        <v>3340</v>
      </c>
      <c r="W9" s="43">
        <v>2310</v>
      </c>
      <c r="X9" s="43">
        <v>1500</v>
      </c>
      <c r="Y9" s="43">
        <v>695</v>
      </c>
      <c r="Z9" s="43">
        <v>1660</v>
      </c>
      <c r="AA9" s="43">
        <v>2270</v>
      </c>
      <c r="AB9" s="43">
        <v>2430</v>
      </c>
      <c r="AC9" s="43">
        <v>920</v>
      </c>
      <c r="AD9" s="43">
        <v>3300</v>
      </c>
      <c r="AE9" s="43">
        <v>2370</v>
      </c>
      <c r="AF9" s="43">
        <v>2360</v>
      </c>
      <c r="AG9" s="43">
        <v>635</v>
      </c>
      <c r="AH9" s="43">
        <v>2295</v>
      </c>
      <c r="AI9" s="43"/>
      <c r="AJ9" s="43">
        <v>2370</v>
      </c>
    </row>
    <row r="10" spans="1:36" ht="16.5" customHeight="1" x14ac:dyDescent="0.3">
      <c r="A10" s="94"/>
      <c r="B10" s="96" t="s">
        <v>18</v>
      </c>
      <c r="C10" s="97"/>
      <c r="D10" s="39">
        <f t="shared" si="0"/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ht="16.5" customHeight="1" x14ac:dyDescent="0.3">
      <c r="A18" s="94"/>
      <c r="B18" s="98" t="s">
        <v>1</v>
      </c>
      <c r="C18" s="99"/>
      <c r="D18" s="39">
        <f t="shared" si="0"/>
        <v>136131</v>
      </c>
      <c r="E18" s="41">
        <v>5055</v>
      </c>
      <c r="F18" s="41">
        <v>5880</v>
      </c>
      <c r="G18" s="41">
        <v>3150</v>
      </c>
      <c r="H18" s="41">
        <v>6351</v>
      </c>
      <c r="I18" s="41">
        <v>5655</v>
      </c>
      <c r="J18" s="41">
        <v>6060</v>
      </c>
      <c r="K18" s="41">
        <v>3130</v>
      </c>
      <c r="L18" s="41">
        <v>7440</v>
      </c>
      <c r="M18" s="41">
        <v>3190</v>
      </c>
      <c r="N18" s="41">
        <v>5870</v>
      </c>
      <c r="O18" s="41">
        <v>6690</v>
      </c>
      <c r="P18" s="41">
        <v>10240</v>
      </c>
      <c r="Q18" s="41">
        <v>1670</v>
      </c>
      <c r="R18" s="43">
        <v>5770</v>
      </c>
      <c r="S18" s="43">
        <v>4690</v>
      </c>
      <c r="T18" s="43">
        <v>5240</v>
      </c>
      <c r="U18" s="43">
        <v>3400</v>
      </c>
      <c r="V18" s="43">
        <v>5920</v>
      </c>
      <c r="W18" s="43">
        <v>2510</v>
      </c>
      <c r="X18" s="43">
        <v>3140</v>
      </c>
      <c r="Y18" s="43">
        <v>4125</v>
      </c>
      <c r="Z18" s="43">
        <v>2985</v>
      </c>
      <c r="AA18" s="43">
        <v>2000</v>
      </c>
      <c r="AB18" s="43">
        <v>3390</v>
      </c>
      <c r="AC18" s="43">
        <v>5675</v>
      </c>
      <c r="AD18" s="43">
        <v>5385</v>
      </c>
      <c r="AE18" s="43">
        <v>2000</v>
      </c>
      <c r="AF18" s="43">
        <v>3540</v>
      </c>
      <c r="AG18" s="43">
        <v>2250</v>
      </c>
      <c r="AH18" s="43">
        <v>3730</v>
      </c>
      <c r="AI18" s="43"/>
      <c r="AJ18" s="43">
        <v>2010</v>
      </c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</row>
    <row r="20" spans="1:36" ht="16.5" customHeight="1" x14ac:dyDescent="0.3">
      <c r="A20" s="94"/>
      <c r="B20" s="98" t="s">
        <v>16</v>
      </c>
      <c r="C20" s="99"/>
      <c r="D20" s="39">
        <f t="shared" si="0"/>
        <v>11972</v>
      </c>
      <c r="E20" s="41">
        <v>730</v>
      </c>
      <c r="F20" s="41">
        <v>260</v>
      </c>
      <c r="G20" s="41">
        <v>155</v>
      </c>
      <c r="H20" s="41">
        <v>350</v>
      </c>
      <c r="I20" s="41">
        <v>840</v>
      </c>
      <c r="J20" s="41">
        <v>270</v>
      </c>
      <c r="K20" s="41">
        <v>220</v>
      </c>
      <c r="L20" s="41">
        <v>760</v>
      </c>
      <c r="M20" s="41">
        <v>450</v>
      </c>
      <c r="N20" s="41">
        <v>321</v>
      </c>
      <c r="O20" s="41">
        <v>455</v>
      </c>
      <c r="P20" s="41">
        <v>900</v>
      </c>
      <c r="Q20" s="41">
        <v>194</v>
      </c>
      <c r="R20" s="43">
        <v>321</v>
      </c>
      <c r="S20" s="43">
        <v>365</v>
      </c>
      <c r="T20" s="43">
        <v>530</v>
      </c>
      <c r="U20" s="43">
        <v>554</v>
      </c>
      <c r="V20" s="43">
        <v>236</v>
      </c>
      <c r="W20" s="43">
        <v>365</v>
      </c>
      <c r="X20" s="43">
        <v>250</v>
      </c>
      <c r="Y20" s="43">
        <v>501</v>
      </c>
      <c r="Z20" s="43">
        <v>160</v>
      </c>
      <c r="AA20" s="43">
        <v>165</v>
      </c>
      <c r="AB20" s="43">
        <v>340</v>
      </c>
      <c r="AC20" s="43">
        <v>671</v>
      </c>
      <c r="AD20" s="43">
        <v>459</v>
      </c>
      <c r="AE20" s="43">
        <v>165</v>
      </c>
      <c r="AF20" s="43">
        <v>350</v>
      </c>
      <c r="AG20" s="43">
        <v>474</v>
      </c>
      <c r="AH20" s="43">
        <v>161</v>
      </c>
      <c r="AI20" s="43"/>
      <c r="AJ20" s="43">
        <v>165</v>
      </c>
    </row>
    <row r="21" spans="1:36" ht="16.5" customHeight="1" x14ac:dyDescent="0.3">
      <c r="A21" s="94"/>
      <c r="B21" s="98" t="s">
        <v>10</v>
      </c>
      <c r="C21" s="99"/>
      <c r="D21" s="39">
        <f t="shared" si="0"/>
        <v>7406</v>
      </c>
      <c r="E21" s="41">
        <v>110</v>
      </c>
      <c r="F21" s="41">
        <v>137</v>
      </c>
      <c r="G21" s="41">
        <v>180</v>
      </c>
      <c r="H21" s="41">
        <v>439</v>
      </c>
      <c r="I21" s="41">
        <v>206</v>
      </c>
      <c r="J21" s="41">
        <v>146</v>
      </c>
      <c r="K21" s="41">
        <v>175</v>
      </c>
      <c r="L21" s="41">
        <v>650</v>
      </c>
      <c r="M21" s="41">
        <v>150</v>
      </c>
      <c r="N21" s="41">
        <v>163</v>
      </c>
      <c r="O21" s="41">
        <v>515</v>
      </c>
      <c r="P21" s="41">
        <v>710</v>
      </c>
      <c r="Q21" s="41">
        <v>114</v>
      </c>
      <c r="R21" s="43">
        <v>163</v>
      </c>
      <c r="S21" s="43">
        <v>305</v>
      </c>
      <c r="T21" s="43">
        <v>320</v>
      </c>
      <c r="U21" s="43">
        <v>184</v>
      </c>
      <c r="V21" s="43">
        <v>207</v>
      </c>
      <c r="W21" s="43">
        <v>275</v>
      </c>
      <c r="X21" s="43">
        <v>220</v>
      </c>
      <c r="Y21" s="43">
        <v>179</v>
      </c>
      <c r="Z21" s="43">
        <v>124</v>
      </c>
      <c r="AA21" s="43">
        <v>135</v>
      </c>
      <c r="AB21" s="43">
        <v>270</v>
      </c>
      <c r="AC21" s="43">
        <v>289</v>
      </c>
      <c r="AD21" s="43">
        <v>337</v>
      </c>
      <c r="AE21" s="43">
        <v>135</v>
      </c>
      <c r="AF21" s="43">
        <v>290</v>
      </c>
      <c r="AG21" s="43">
        <v>134</v>
      </c>
      <c r="AH21" s="43">
        <v>144</v>
      </c>
      <c r="AI21" s="43"/>
      <c r="AJ21" s="43">
        <v>135</v>
      </c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</row>
    <row r="23" spans="1:36" ht="16.5" customHeight="1" x14ac:dyDescent="0.3">
      <c r="A23" s="88" t="s">
        <v>4</v>
      </c>
      <c r="B23" s="89"/>
      <c r="C23" s="90"/>
      <c r="D23" s="39">
        <f t="shared" si="0"/>
        <v>393929</v>
      </c>
      <c r="E23" s="46">
        <f t="shared" ref="E23:AJ23" si="1">SUM(E6:E22)</f>
        <v>14275</v>
      </c>
      <c r="F23" s="46">
        <f t="shared" si="1"/>
        <v>14990</v>
      </c>
      <c r="G23" s="46">
        <f t="shared" si="1"/>
        <v>10416</v>
      </c>
      <c r="H23" s="46">
        <f t="shared" si="1"/>
        <v>21860</v>
      </c>
      <c r="I23" s="46">
        <f t="shared" si="1"/>
        <v>17881</v>
      </c>
      <c r="J23" s="46">
        <f t="shared" si="1"/>
        <v>15179</v>
      </c>
      <c r="K23" s="46">
        <f t="shared" si="1"/>
        <v>9531</v>
      </c>
      <c r="L23" s="46">
        <f t="shared" si="1"/>
        <v>18780</v>
      </c>
      <c r="M23" s="46">
        <f t="shared" si="1"/>
        <v>7610</v>
      </c>
      <c r="N23" s="46">
        <f t="shared" si="1"/>
        <v>16417</v>
      </c>
      <c r="O23" s="46">
        <f t="shared" si="1"/>
        <v>18926</v>
      </c>
      <c r="P23" s="46">
        <f t="shared" si="1"/>
        <v>23880</v>
      </c>
      <c r="Q23" s="46">
        <f t="shared" si="1"/>
        <v>5748</v>
      </c>
      <c r="R23" s="46">
        <f t="shared" si="1"/>
        <v>16317</v>
      </c>
      <c r="S23" s="46">
        <f t="shared" si="1"/>
        <v>14326</v>
      </c>
      <c r="T23" s="46">
        <f t="shared" si="1"/>
        <v>11320</v>
      </c>
      <c r="U23" s="46">
        <f t="shared" si="1"/>
        <v>9678</v>
      </c>
      <c r="V23" s="46">
        <f t="shared" si="1"/>
        <v>23183</v>
      </c>
      <c r="W23" s="46">
        <f t="shared" si="1"/>
        <v>9016</v>
      </c>
      <c r="X23" s="46">
        <f t="shared" si="1"/>
        <v>8850</v>
      </c>
      <c r="Y23" s="46">
        <f t="shared" si="1"/>
        <v>11070</v>
      </c>
      <c r="Z23" s="46">
        <f t="shared" si="1"/>
        <v>9002</v>
      </c>
      <c r="AA23" s="46">
        <f t="shared" si="1"/>
        <v>7736</v>
      </c>
      <c r="AB23" s="46">
        <f t="shared" si="1"/>
        <v>10070</v>
      </c>
      <c r="AC23" s="46">
        <f t="shared" si="1"/>
        <v>14245</v>
      </c>
      <c r="AD23" s="46">
        <f t="shared" si="1"/>
        <v>16674</v>
      </c>
      <c r="AE23" s="46">
        <f t="shared" si="1"/>
        <v>7936</v>
      </c>
      <c r="AF23" s="46">
        <f t="shared" si="1"/>
        <v>10280</v>
      </c>
      <c r="AG23" s="46">
        <f t="shared" si="1"/>
        <v>7123</v>
      </c>
      <c r="AH23" s="46">
        <f t="shared" si="1"/>
        <v>11610</v>
      </c>
      <c r="AI23" s="46">
        <f t="shared" si="1"/>
        <v>0</v>
      </c>
      <c r="AJ23" s="46">
        <f t="shared" si="1"/>
        <v>7946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1"/>
      <c r="F24" s="41"/>
      <c r="G24" s="4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1"/>
      <c r="F25" s="41"/>
      <c r="G25" s="4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1"/>
      <c r="F26" s="41"/>
      <c r="G26" s="4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1"/>
      <c r="F27" s="41"/>
      <c r="G27" s="4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1"/>
      <c r="F28" s="41"/>
      <c r="G28" s="4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1"/>
      <c r="F29" s="41"/>
      <c r="G29" s="4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1"/>
      <c r="F30" s="41"/>
      <c r="G30" s="4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1"/>
      <c r="F31" s="41"/>
      <c r="G31" s="4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1"/>
      <c r="F32" s="41"/>
      <c r="G32" s="4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1"/>
      <c r="F33" s="41"/>
      <c r="G33" s="4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1"/>
      <c r="F34" s="41"/>
      <c r="G34" s="4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1"/>
      <c r="F35" s="41"/>
      <c r="G35" s="4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1"/>
      <c r="F36" s="41"/>
      <c r="G36" s="4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1"/>
      <c r="F37" s="41"/>
      <c r="G37" s="4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1"/>
      <c r="F38" s="41"/>
      <c r="G38" s="4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1"/>
      <c r="F39" s="41"/>
      <c r="G39" s="4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1"/>
      <c r="F40" s="41"/>
      <c r="G40" s="4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1"/>
      <c r="F41" s="41"/>
      <c r="G41" s="4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1"/>
      <c r="F42" s="41"/>
      <c r="G42" s="4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1"/>
      <c r="F43" s="41"/>
      <c r="G43" s="4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1"/>
      <c r="F44" s="41"/>
      <c r="G44" s="4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1"/>
      <c r="F45" s="41"/>
      <c r="G45" s="4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1"/>
      <c r="F46" s="41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3">
      <c r="A47" s="95"/>
      <c r="B47" s="95"/>
      <c r="C47" s="47" t="s">
        <v>15</v>
      </c>
      <c r="D47" s="39">
        <f>SUM(E47:AH47)</f>
        <v>96897</v>
      </c>
      <c r="E47" s="41">
        <v>4795</v>
      </c>
      <c r="F47" s="41">
        <v>2580</v>
      </c>
      <c r="G47" s="41">
        <v>2606</v>
      </c>
      <c r="H47" s="41">
        <v>4080</v>
      </c>
      <c r="I47" s="41">
        <v>6005</v>
      </c>
      <c r="J47" s="41">
        <v>2580</v>
      </c>
      <c r="K47" s="41">
        <v>1656</v>
      </c>
      <c r="L47" s="41">
        <v>5520</v>
      </c>
      <c r="M47" s="41">
        <v>2700</v>
      </c>
      <c r="N47" s="41">
        <v>2930</v>
      </c>
      <c r="O47" s="41">
        <v>4106</v>
      </c>
      <c r="P47" s="41">
        <v>6120</v>
      </c>
      <c r="Q47" s="41">
        <v>2410</v>
      </c>
      <c r="R47" s="43">
        <v>2930</v>
      </c>
      <c r="S47" s="43">
        <v>2906</v>
      </c>
      <c r="T47" s="43">
        <v>3020</v>
      </c>
      <c r="U47" s="43">
        <v>3010</v>
      </c>
      <c r="V47" s="43">
        <v>4400</v>
      </c>
      <c r="W47" s="43">
        <v>2356</v>
      </c>
      <c r="X47" s="43">
        <v>2900</v>
      </c>
      <c r="Y47" s="43">
        <v>3355</v>
      </c>
      <c r="Z47" s="43">
        <v>1790</v>
      </c>
      <c r="AA47" s="43">
        <v>2306</v>
      </c>
      <c r="AB47" s="43">
        <v>2500</v>
      </c>
      <c r="AC47" s="43">
        <v>4360</v>
      </c>
      <c r="AD47" s="43">
        <v>3190</v>
      </c>
      <c r="AE47" s="43">
        <v>2156</v>
      </c>
      <c r="AF47" s="43">
        <v>2250</v>
      </c>
      <c r="AG47" s="43">
        <v>2390</v>
      </c>
      <c r="AH47" s="43">
        <v>2990</v>
      </c>
      <c r="AI47" s="43"/>
      <c r="AJ47" s="43">
        <v>2156</v>
      </c>
    </row>
    <row r="48" spans="1:36" ht="16.5" customHeight="1" x14ac:dyDescent="0.3">
      <c r="A48" s="88" t="s">
        <v>4</v>
      </c>
      <c r="B48" s="89"/>
      <c r="C48" s="90"/>
      <c r="D48" s="49">
        <f t="shared" ref="D48:AJ48" si="3">SUM(D46:D47)</f>
        <v>96897</v>
      </c>
      <c r="E48" s="50">
        <f t="shared" si="3"/>
        <v>4795</v>
      </c>
      <c r="F48" s="50">
        <f t="shared" si="3"/>
        <v>2580</v>
      </c>
      <c r="G48" s="50">
        <f t="shared" si="3"/>
        <v>2606</v>
      </c>
      <c r="H48" s="50">
        <f t="shared" si="3"/>
        <v>4080</v>
      </c>
      <c r="I48" s="50">
        <f t="shared" si="3"/>
        <v>6005</v>
      </c>
      <c r="J48" s="50">
        <f t="shared" si="3"/>
        <v>2580</v>
      </c>
      <c r="K48" s="50">
        <f t="shared" si="3"/>
        <v>1656</v>
      </c>
      <c r="L48" s="50">
        <f t="shared" si="3"/>
        <v>5520</v>
      </c>
      <c r="M48" s="50">
        <f t="shared" si="3"/>
        <v>2700</v>
      </c>
      <c r="N48" s="50">
        <f>SUM(N46:N47)</f>
        <v>2930</v>
      </c>
      <c r="O48" s="50">
        <f t="shared" si="3"/>
        <v>4106</v>
      </c>
      <c r="P48" s="50">
        <f t="shared" si="3"/>
        <v>6120</v>
      </c>
      <c r="Q48" s="50">
        <f t="shared" si="3"/>
        <v>2410</v>
      </c>
      <c r="R48" s="50">
        <f t="shared" si="3"/>
        <v>2930</v>
      </c>
      <c r="S48" s="50">
        <f t="shared" si="3"/>
        <v>2906</v>
      </c>
      <c r="T48" s="50">
        <f t="shared" si="3"/>
        <v>3020</v>
      </c>
      <c r="U48" s="50">
        <f t="shared" si="3"/>
        <v>3010</v>
      </c>
      <c r="V48" s="50">
        <f t="shared" si="3"/>
        <v>4400</v>
      </c>
      <c r="W48" s="50">
        <f t="shared" si="3"/>
        <v>2356</v>
      </c>
      <c r="X48" s="50">
        <f t="shared" si="3"/>
        <v>2900</v>
      </c>
      <c r="Y48" s="50">
        <f t="shared" si="3"/>
        <v>3355</v>
      </c>
      <c r="Z48" s="50">
        <f t="shared" si="3"/>
        <v>1790</v>
      </c>
      <c r="AA48" s="50">
        <f t="shared" si="3"/>
        <v>2306</v>
      </c>
      <c r="AB48" s="50">
        <f t="shared" si="3"/>
        <v>2500</v>
      </c>
      <c r="AC48" s="50">
        <f t="shared" si="3"/>
        <v>4360</v>
      </c>
      <c r="AD48" s="50">
        <f t="shared" si="3"/>
        <v>3190</v>
      </c>
      <c r="AE48" s="50">
        <f t="shared" si="3"/>
        <v>2156</v>
      </c>
      <c r="AF48" s="50">
        <f t="shared" si="3"/>
        <v>2250</v>
      </c>
      <c r="AG48" s="50">
        <f t="shared" si="3"/>
        <v>2390</v>
      </c>
      <c r="AH48" s="50">
        <f t="shared" si="3"/>
        <v>2990</v>
      </c>
      <c r="AI48" s="50">
        <f t="shared" si="3"/>
        <v>0</v>
      </c>
      <c r="AJ48" s="50">
        <f t="shared" si="3"/>
        <v>2156</v>
      </c>
    </row>
    <row r="49" spans="1:36" ht="16.5" customHeight="1" x14ac:dyDescent="0.3">
      <c r="A49" s="100" t="s">
        <v>5</v>
      </c>
      <c r="B49" s="101"/>
      <c r="C49" s="102"/>
      <c r="D49" s="51">
        <f t="shared" ref="D49:AJ49" si="4">SUM(D23,D48)</f>
        <v>490826</v>
      </c>
      <c r="E49" s="52">
        <f t="shared" si="4"/>
        <v>19070</v>
      </c>
      <c r="F49" s="52">
        <f t="shared" si="4"/>
        <v>17570</v>
      </c>
      <c r="G49" s="52">
        <f t="shared" si="4"/>
        <v>13022</v>
      </c>
      <c r="H49" s="52">
        <f t="shared" si="4"/>
        <v>25940</v>
      </c>
      <c r="I49" s="52">
        <f t="shared" si="4"/>
        <v>23886</v>
      </c>
      <c r="J49" s="52">
        <f t="shared" si="4"/>
        <v>17759</v>
      </c>
      <c r="K49" s="52">
        <f t="shared" si="4"/>
        <v>11187</v>
      </c>
      <c r="L49" s="52">
        <f>SUM(L23,L48)</f>
        <v>24300</v>
      </c>
      <c r="M49" s="52">
        <f t="shared" si="4"/>
        <v>10310</v>
      </c>
      <c r="N49" s="52">
        <f t="shared" si="4"/>
        <v>19347</v>
      </c>
      <c r="O49" s="52">
        <f t="shared" si="4"/>
        <v>23032</v>
      </c>
      <c r="P49" s="52">
        <f t="shared" si="4"/>
        <v>30000</v>
      </c>
      <c r="Q49" s="52">
        <f t="shared" si="4"/>
        <v>8158</v>
      </c>
      <c r="R49" s="52">
        <f t="shared" si="4"/>
        <v>19247</v>
      </c>
      <c r="S49" s="52">
        <f t="shared" si="4"/>
        <v>17232</v>
      </c>
      <c r="T49" s="52">
        <f t="shared" si="4"/>
        <v>14340</v>
      </c>
      <c r="U49" s="52">
        <f t="shared" si="4"/>
        <v>12688</v>
      </c>
      <c r="V49" s="52">
        <f t="shared" si="4"/>
        <v>27583</v>
      </c>
      <c r="W49" s="52">
        <f t="shared" si="4"/>
        <v>11372</v>
      </c>
      <c r="X49" s="52">
        <f t="shared" si="4"/>
        <v>11750</v>
      </c>
      <c r="Y49" s="52">
        <f t="shared" si="4"/>
        <v>14425</v>
      </c>
      <c r="Z49" s="52">
        <f t="shared" si="4"/>
        <v>10792</v>
      </c>
      <c r="AA49" s="52">
        <f t="shared" si="4"/>
        <v>10042</v>
      </c>
      <c r="AB49" s="52">
        <f t="shared" si="4"/>
        <v>12570</v>
      </c>
      <c r="AC49" s="52">
        <f t="shared" si="4"/>
        <v>18605</v>
      </c>
      <c r="AD49" s="52">
        <f t="shared" si="4"/>
        <v>19864</v>
      </c>
      <c r="AE49" s="52">
        <f t="shared" si="4"/>
        <v>10092</v>
      </c>
      <c r="AF49" s="52">
        <f t="shared" si="4"/>
        <v>12530</v>
      </c>
      <c r="AG49" s="52">
        <f t="shared" si="4"/>
        <v>9513</v>
      </c>
      <c r="AH49" s="52">
        <f t="shared" si="4"/>
        <v>14600</v>
      </c>
      <c r="AI49" s="52">
        <f t="shared" si="4"/>
        <v>0</v>
      </c>
      <c r="AJ49" s="52">
        <f t="shared" si="4"/>
        <v>10102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9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8" sqref="E58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97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>
        <v>31</v>
      </c>
    </row>
    <row r="4" spans="1:36" ht="16.5" customHeight="1" x14ac:dyDescent="0.3">
      <c r="A4" s="88" t="s">
        <v>19</v>
      </c>
      <c r="B4" s="89"/>
      <c r="C4" s="90"/>
      <c r="D4" s="92"/>
      <c r="E4" s="36" t="s">
        <v>59</v>
      </c>
      <c r="F4" s="36" t="s">
        <v>60</v>
      </c>
      <c r="G4" s="36" t="s">
        <v>61</v>
      </c>
      <c r="H4" s="36" t="s">
        <v>55</v>
      </c>
      <c r="I4" s="36" t="s">
        <v>78</v>
      </c>
      <c r="J4" s="36" t="s">
        <v>79</v>
      </c>
      <c r="K4" s="36" t="s">
        <v>80</v>
      </c>
      <c r="L4" s="36" t="s">
        <v>81</v>
      </c>
      <c r="M4" s="36" t="s">
        <v>75</v>
      </c>
      <c r="N4" s="36" t="s">
        <v>76</v>
      </c>
      <c r="O4" s="36" t="s">
        <v>77</v>
      </c>
      <c r="P4" s="36" t="s">
        <v>78</v>
      </c>
      <c r="Q4" s="36" t="s">
        <v>79</v>
      </c>
      <c r="R4" s="36" t="s">
        <v>80</v>
      </c>
      <c r="S4" s="36" t="s">
        <v>81</v>
      </c>
      <c r="T4" s="36" t="s">
        <v>75</v>
      </c>
      <c r="U4" s="36" t="s">
        <v>76</v>
      </c>
      <c r="V4" s="36" t="s">
        <v>77</v>
      </c>
      <c r="W4" s="36" t="s">
        <v>78</v>
      </c>
      <c r="X4" s="36" t="s">
        <v>79</v>
      </c>
      <c r="Y4" s="36" t="s">
        <v>80</v>
      </c>
      <c r="Z4" s="36" t="s">
        <v>81</v>
      </c>
      <c r="AA4" s="36" t="s">
        <v>75</v>
      </c>
      <c r="AB4" s="36" t="s">
        <v>76</v>
      </c>
      <c r="AC4" s="36" t="s">
        <v>77</v>
      </c>
      <c r="AD4" s="36" t="s">
        <v>78</v>
      </c>
      <c r="AE4" s="36" t="s">
        <v>79</v>
      </c>
      <c r="AF4" s="36" t="s">
        <v>80</v>
      </c>
      <c r="AG4" s="36" t="s">
        <v>81</v>
      </c>
      <c r="AH4" s="36" t="s">
        <v>75</v>
      </c>
      <c r="AI4" s="36" t="s">
        <v>76</v>
      </c>
      <c r="AJ4" s="36" t="s">
        <v>61</v>
      </c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68</v>
      </c>
      <c r="F5" s="38" t="s">
        <v>98</v>
      </c>
      <c r="G5" s="38" t="s">
        <v>68</v>
      </c>
      <c r="H5" s="38" t="s">
        <v>68</v>
      </c>
      <c r="I5" s="38" t="s">
        <v>68</v>
      </c>
      <c r="J5" s="38" t="s">
        <v>68</v>
      </c>
      <c r="K5" s="38" t="s">
        <v>68</v>
      </c>
      <c r="L5" s="38" t="s">
        <v>68</v>
      </c>
      <c r="M5" s="38" t="s">
        <v>68</v>
      </c>
      <c r="N5" s="38" t="s">
        <v>68</v>
      </c>
      <c r="O5" s="38" t="s">
        <v>68</v>
      </c>
      <c r="P5" s="38" t="s">
        <v>68</v>
      </c>
      <c r="Q5" s="38" t="s">
        <v>68</v>
      </c>
      <c r="R5" s="38" t="s">
        <v>68</v>
      </c>
      <c r="S5" s="38" t="s">
        <v>68</v>
      </c>
      <c r="T5" s="38" t="s">
        <v>73</v>
      </c>
      <c r="U5" s="38" t="s">
        <v>65</v>
      </c>
      <c r="V5" s="38" t="s">
        <v>65</v>
      </c>
      <c r="W5" s="38" t="s">
        <v>65</v>
      </c>
      <c r="X5" s="38" t="s">
        <v>65</v>
      </c>
      <c r="Y5" s="38" t="s">
        <v>65</v>
      </c>
      <c r="Z5" s="38" t="s">
        <v>99</v>
      </c>
      <c r="AA5" s="38" t="s">
        <v>65</v>
      </c>
      <c r="AB5" s="38" t="s">
        <v>65</v>
      </c>
      <c r="AC5" s="38" t="s">
        <v>65</v>
      </c>
      <c r="AD5" s="38" t="s">
        <v>94</v>
      </c>
      <c r="AE5" s="38" t="s">
        <v>98</v>
      </c>
      <c r="AF5" s="38" t="s">
        <v>68</v>
      </c>
      <c r="AG5" s="38" t="s">
        <v>91</v>
      </c>
      <c r="AH5" s="38" t="s">
        <v>73</v>
      </c>
      <c r="AI5" s="53"/>
      <c r="AJ5" s="38" t="s">
        <v>66</v>
      </c>
    </row>
    <row r="6" spans="1:36" ht="16.5" customHeight="1" x14ac:dyDescent="0.3">
      <c r="A6" s="94"/>
      <c r="B6" s="98" t="s">
        <v>22</v>
      </c>
      <c r="C6" s="99"/>
      <c r="D6" s="39">
        <f t="shared" ref="D6:D23" si="0">SUM(E6:AH6)</f>
        <v>2330</v>
      </c>
      <c r="E6" s="59">
        <v>120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  <c r="K6" s="59">
        <v>0</v>
      </c>
      <c r="L6" s="59">
        <v>0</v>
      </c>
      <c r="M6" s="59">
        <v>0</v>
      </c>
      <c r="N6" s="59">
        <v>0</v>
      </c>
      <c r="O6" s="59">
        <v>0</v>
      </c>
      <c r="P6" s="59">
        <v>0</v>
      </c>
      <c r="Q6" s="59">
        <v>0</v>
      </c>
      <c r="R6" s="59">
        <v>0</v>
      </c>
      <c r="S6" s="59">
        <v>0</v>
      </c>
      <c r="T6" s="60">
        <v>0</v>
      </c>
      <c r="U6" s="60">
        <v>120</v>
      </c>
      <c r="V6" s="60">
        <v>0</v>
      </c>
      <c r="W6" s="60">
        <v>500</v>
      </c>
      <c r="X6" s="60">
        <v>0</v>
      </c>
      <c r="Y6" s="60">
        <v>120</v>
      </c>
      <c r="Z6" s="60">
        <v>0</v>
      </c>
      <c r="AA6" s="60">
        <v>880</v>
      </c>
      <c r="AB6" s="60">
        <v>0</v>
      </c>
      <c r="AC6" s="60">
        <v>120</v>
      </c>
      <c r="AD6" s="60">
        <v>0</v>
      </c>
      <c r="AE6" s="60">
        <v>350</v>
      </c>
      <c r="AF6" s="60">
        <v>0</v>
      </c>
      <c r="AG6" s="60">
        <v>120</v>
      </c>
      <c r="AH6" s="61">
        <v>0</v>
      </c>
      <c r="AI6" s="60"/>
      <c r="AJ6" s="61">
        <v>650</v>
      </c>
    </row>
    <row r="7" spans="1:36" ht="16.5" customHeight="1" x14ac:dyDescent="0.3">
      <c r="A7" s="94"/>
      <c r="B7" s="98" t="s">
        <v>23</v>
      </c>
      <c r="C7" s="99"/>
      <c r="D7" s="39">
        <f t="shared" si="0"/>
        <v>29229</v>
      </c>
      <c r="E7" s="59">
        <v>2400</v>
      </c>
      <c r="F7" s="59">
        <v>700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60">
        <v>1600</v>
      </c>
      <c r="U7" s="60">
        <v>1300</v>
      </c>
      <c r="V7" s="60">
        <v>2470</v>
      </c>
      <c r="W7" s="60">
        <v>1303</v>
      </c>
      <c r="X7" s="60">
        <v>1600</v>
      </c>
      <c r="Y7" s="60">
        <v>1500</v>
      </c>
      <c r="Z7" s="60">
        <v>1690</v>
      </c>
      <c r="AA7" s="60">
        <v>1853</v>
      </c>
      <c r="AB7" s="60">
        <v>1400</v>
      </c>
      <c r="AC7" s="60">
        <v>2200</v>
      </c>
      <c r="AD7" s="60">
        <v>1710</v>
      </c>
      <c r="AE7" s="60">
        <v>1353</v>
      </c>
      <c r="AF7" s="60">
        <v>1400</v>
      </c>
      <c r="AG7" s="60">
        <v>2600</v>
      </c>
      <c r="AH7" s="60">
        <v>2150</v>
      </c>
      <c r="AI7" s="60"/>
      <c r="AJ7" s="60">
        <v>1853</v>
      </c>
    </row>
    <row r="8" spans="1:36" ht="16.5" customHeight="1" x14ac:dyDescent="0.3">
      <c r="A8" s="94"/>
      <c r="B8" s="98" t="s">
        <v>25</v>
      </c>
      <c r="C8" s="99"/>
      <c r="D8" s="39">
        <f t="shared" si="0"/>
        <v>30863</v>
      </c>
      <c r="E8" s="59">
        <v>620</v>
      </c>
      <c r="F8" s="59">
        <v>219</v>
      </c>
      <c r="G8" s="59">
        <v>0</v>
      </c>
      <c r="H8" s="59">
        <v>0</v>
      </c>
      <c r="I8" s="59">
        <v>0</v>
      </c>
      <c r="J8" s="59">
        <v>0</v>
      </c>
      <c r="K8" s="59">
        <v>0</v>
      </c>
      <c r="L8" s="59">
        <v>0</v>
      </c>
      <c r="M8" s="59">
        <v>0</v>
      </c>
      <c r="N8" s="59">
        <v>0</v>
      </c>
      <c r="O8" s="59">
        <v>0</v>
      </c>
      <c r="P8" s="59">
        <v>0</v>
      </c>
      <c r="Q8" s="59">
        <v>0</v>
      </c>
      <c r="R8" s="59">
        <v>0</v>
      </c>
      <c r="S8" s="59">
        <v>0</v>
      </c>
      <c r="T8" s="60">
        <v>1366</v>
      </c>
      <c r="U8" s="60">
        <v>1320</v>
      </c>
      <c r="V8" s="60">
        <v>1950</v>
      </c>
      <c r="W8" s="60">
        <v>3550</v>
      </c>
      <c r="X8" s="60">
        <v>2066</v>
      </c>
      <c r="Y8" s="60">
        <v>1020</v>
      </c>
      <c r="Z8" s="60">
        <v>2050</v>
      </c>
      <c r="AA8" s="60">
        <v>3800</v>
      </c>
      <c r="AB8" s="60">
        <v>2066</v>
      </c>
      <c r="AC8" s="60">
        <v>1020</v>
      </c>
      <c r="AD8" s="60">
        <v>2250</v>
      </c>
      <c r="AE8" s="60">
        <v>2130</v>
      </c>
      <c r="AF8" s="60">
        <v>2266</v>
      </c>
      <c r="AG8" s="60">
        <v>570</v>
      </c>
      <c r="AH8" s="60">
        <v>2600</v>
      </c>
      <c r="AI8" s="60"/>
      <c r="AJ8" s="60">
        <v>2680</v>
      </c>
    </row>
    <row r="9" spans="1:36" ht="16.5" customHeight="1" x14ac:dyDescent="0.3">
      <c r="A9" s="94"/>
      <c r="B9" s="98" t="s">
        <v>29</v>
      </c>
      <c r="C9" s="99"/>
      <c r="D9" s="39">
        <f t="shared" si="0"/>
        <v>29706</v>
      </c>
      <c r="E9" s="59">
        <v>1170</v>
      </c>
      <c r="F9" s="59">
        <v>125</v>
      </c>
      <c r="G9" s="59">
        <v>0</v>
      </c>
      <c r="H9" s="59">
        <v>0</v>
      </c>
      <c r="I9" s="59">
        <v>0</v>
      </c>
      <c r="J9" s="59">
        <v>0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59">
        <v>0</v>
      </c>
      <c r="Q9" s="59">
        <v>0</v>
      </c>
      <c r="R9" s="59">
        <v>0</v>
      </c>
      <c r="S9" s="59">
        <v>0</v>
      </c>
      <c r="T9" s="60">
        <v>2220</v>
      </c>
      <c r="U9" s="60">
        <v>2280</v>
      </c>
      <c r="V9" s="60">
        <f>121+500</f>
        <v>621</v>
      </c>
      <c r="W9" s="60">
        <f>1400+885</f>
        <v>2285</v>
      </c>
      <c r="X9" s="60">
        <f>1170+1550</f>
        <v>2720</v>
      </c>
      <c r="Y9" s="60">
        <f>1330+500</f>
        <v>1830</v>
      </c>
      <c r="Z9" s="60">
        <f>450+101</f>
        <v>551</v>
      </c>
      <c r="AA9" s="60">
        <f>1385+1630</f>
        <v>3015</v>
      </c>
      <c r="AB9" s="60">
        <f>1170+1250</f>
        <v>2420</v>
      </c>
      <c r="AC9" s="60">
        <f>1360+900</f>
        <v>2260</v>
      </c>
      <c r="AD9" s="60">
        <f>209+350</f>
        <v>559</v>
      </c>
      <c r="AE9" s="60">
        <f>670+905</f>
        <v>1575</v>
      </c>
      <c r="AF9" s="60">
        <f>1770+1230</f>
        <v>3000</v>
      </c>
      <c r="AG9" s="60">
        <f>940+1050</f>
        <v>1990</v>
      </c>
      <c r="AH9" s="60">
        <f>540+545</f>
        <v>1085</v>
      </c>
      <c r="AI9" s="60"/>
      <c r="AJ9" s="60">
        <f>545+905</f>
        <v>1450</v>
      </c>
    </row>
    <row r="10" spans="1:36" ht="16.5" customHeight="1" x14ac:dyDescent="0.3">
      <c r="A10" s="94"/>
      <c r="B10" s="96" t="s">
        <v>18</v>
      </c>
      <c r="C10" s="97"/>
      <c r="D10" s="39">
        <f t="shared" si="0"/>
        <v>0</v>
      </c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spans="1:36" ht="16.5" customHeight="1" x14ac:dyDescent="0.3">
      <c r="A18" s="94"/>
      <c r="B18" s="98" t="s">
        <v>1</v>
      </c>
      <c r="C18" s="99"/>
      <c r="D18" s="39">
        <f t="shared" si="0"/>
        <v>49980</v>
      </c>
      <c r="E18" s="59">
        <v>2190</v>
      </c>
      <c r="F18" s="59">
        <v>900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60">
        <v>2470</v>
      </c>
      <c r="U18" s="60">
        <v>2740</v>
      </c>
      <c r="V18" s="60">
        <f>2045+1680</f>
        <v>3725</v>
      </c>
      <c r="W18" s="60">
        <f>1650+1830</f>
        <v>3480</v>
      </c>
      <c r="X18" s="60">
        <f>1400+1915</f>
        <v>3315</v>
      </c>
      <c r="Y18" s="60">
        <f>1040+1700</f>
        <v>2740</v>
      </c>
      <c r="Z18" s="60">
        <f>1280+1425</f>
        <v>2705</v>
      </c>
      <c r="AA18" s="60">
        <f>2450+2040</f>
        <v>4490</v>
      </c>
      <c r="AB18" s="60">
        <f>1250+1915</f>
        <v>3165</v>
      </c>
      <c r="AC18" s="60">
        <f>1040+2500</f>
        <v>3540</v>
      </c>
      <c r="AD18" s="60">
        <f>1520+880</f>
        <v>2400</v>
      </c>
      <c r="AE18" s="60">
        <f>950+1185</f>
        <v>2135</v>
      </c>
      <c r="AF18" s="60">
        <f>1250+2015</f>
        <v>3265</v>
      </c>
      <c r="AG18" s="60">
        <f>2400+560</f>
        <v>2960</v>
      </c>
      <c r="AH18" s="60">
        <f>1430+2330</f>
        <v>3760</v>
      </c>
      <c r="AI18" s="60"/>
      <c r="AJ18" s="60">
        <f>1935+1700</f>
        <v>3635</v>
      </c>
    </row>
    <row r="19" spans="1:36" ht="16.5" customHeight="1" x14ac:dyDescent="0.3">
      <c r="A19" s="94"/>
      <c r="B19" s="96" t="s">
        <v>2</v>
      </c>
      <c r="C19" s="97"/>
      <c r="D19" s="39">
        <f t="shared" si="0"/>
        <v>9</v>
      </c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>
        <v>9</v>
      </c>
      <c r="AE19" s="60"/>
      <c r="AF19" s="60"/>
      <c r="AG19" s="60"/>
      <c r="AH19" s="60"/>
      <c r="AI19" s="60"/>
      <c r="AJ19" s="60"/>
    </row>
    <row r="20" spans="1:36" ht="16.5" customHeight="1" x14ac:dyDescent="0.3">
      <c r="A20" s="94"/>
      <c r="B20" s="98" t="s">
        <v>16</v>
      </c>
      <c r="C20" s="99"/>
      <c r="D20" s="39">
        <f t="shared" si="0"/>
        <v>6214</v>
      </c>
      <c r="E20" s="59">
        <v>330</v>
      </c>
      <c r="F20" s="59">
        <v>31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60">
        <v>165</v>
      </c>
      <c r="U20" s="60">
        <v>310</v>
      </c>
      <c r="V20" s="60">
        <v>421</v>
      </c>
      <c r="W20" s="60">
        <v>382</v>
      </c>
      <c r="X20" s="60">
        <v>165</v>
      </c>
      <c r="Y20" s="60">
        <v>700</v>
      </c>
      <c r="Z20" s="60">
        <v>318</v>
      </c>
      <c r="AA20" s="60">
        <f>177+550</f>
        <v>727</v>
      </c>
      <c r="AB20" s="60">
        <v>165</v>
      </c>
      <c r="AC20" s="60">
        <f>580+260</f>
        <v>840</v>
      </c>
      <c r="AD20" s="60">
        <f>280+16</f>
        <v>296</v>
      </c>
      <c r="AE20" s="60">
        <v>289</v>
      </c>
      <c r="AF20" s="60">
        <f>115+50</f>
        <v>165</v>
      </c>
      <c r="AG20" s="60">
        <f>220+240</f>
        <v>460</v>
      </c>
      <c r="AH20" s="60">
        <v>450</v>
      </c>
      <c r="AI20" s="60"/>
      <c r="AJ20" s="60">
        <f>94+220</f>
        <v>314</v>
      </c>
    </row>
    <row r="21" spans="1:36" ht="16.5" customHeight="1" x14ac:dyDescent="0.3">
      <c r="A21" s="94"/>
      <c r="B21" s="98" t="s">
        <v>10</v>
      </c>
      <c r="C21" s="99"/>
      <c r="D21" s="39">
        <f t="shared" si="0"/>
        <v>3705</v>
      </c>
      <c r="E21" s="59">
        <v>270</v>
      </c>
      <c r="F21" s="59">
        <v>39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60">
        <v>135</v>
      </c>
      <c r="U21" s="60">
        <v>210</v>
      </c>
      <c r="V21" s="60">
        <v>99</v>
      </c>
      <c r="W21" s="60">
        <v>208</v>
      </c>
      <c r="X21" s="60">
        <v>205</v>
      </c>
      <c r="Y21" s="60">
        <v>560</v>
      </c>
      <c r="Z21" s="60">
        <v>114</v>
      </c>
      <c r="AA21" s="60">
        <f>160+69</f>
        <v>229</v>
      </c>
      <c r="AB21" s="60">
        <v>205</v>
      </c>
      <c r="AC21" s="60">
        <f>80+480</f>
        <v>560</v>
      </c>
      <c r="AD21" s="60">
        <v>84</v>
      </c>
      <c r="AE21" s="60">
        <v>203</v>
      </c>
      <c r="AF21" s="60">
        <v>205</v>
      </c>
      <c r="AG21" s="60">
        <v>250</v>
      </c>
      <c r="AH21" s="60">
        <v>129</v>
      </c>
      <c r="AI21" s="60"/>
      <c r="AJ21" s="60">
        <f>160+51</f>
        <v>211</v>
      </c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36" ht="16.5" customHeight="1" x14ac:dyDescent="0.3">
      <c r="A23" s="88" t="s">
        <v>4</v>
      </c>
      <c r="B23" s="89"/>
      <c r="C23" s="90"/>
      <c r="D23" s="39">
        <f t="shared" si="0"/>
        <v>152036</v>
      </c>
      <c r="E23" s="62">
        <f t="shared" ref="E23:AJ23" si="1">SUM(E6:E22)</f>
        <v>7100</v>
      </c>
      <c r="F23" s="62">
        <f t="shared" si="1"/>
        <v>2014</v>
      </c>
      <c r="G23" s="62">
        <f t="shared" si="1"/>
        <v>0</v>
      </c>
      <c r="H23" s="62">
        <f t="shared" si="1"/>
        <v>0</v>
      </c>
      <c r="I23" s="62">
        <f t="shared" si="1"/>
        <v>0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0</v>
      </c>
      <c r="N23" s="62">
        <f t="shared" si="1"/>
        <v>0</v>
      </c>
      <c r="O23" s="62">
        <f t="shared" si="1"/>
        <v>0</v>
      </c>
      <c r="P23" s="62">
        <f t="shared" si="1"/>
        <v>0</v>
      </c>
      <c r="Q23" s="62">
        <f t="shared" si="1"/>
        <v>0</v>
      </c>
      <c r="R23" s="62">
        <f t="shared" si="1"/>
        <v>0</v>
      </c>
      <c r="S23" s="62">
        <f t="shared" si="1"/>
        <v>0</v>
      </c>
      <c r="T23" s="62">
        <f t="shared" si="1"/>
        <v>7956</v>
      </c>
      <c r="U23" s="62">
        <f t="shared" si="1"/>
        <v>8280</v>
      </c>
      <c r="V23" s="62">
        <f t="shared" si="1"/>
        <v>9286</v>
      </c>
      <c r="W23" s="62">
        <f t="shared" si="1"/>
        <v>11708</v>
      </c>
      <c r="X23" s="62">
        <f t="shared" si="1"/>
        <v>10071</v>
      </c>
      <c r="Y23" s="62">
        <f t="shared" si="1"/>
        <v>8470</v>
      </c>
      <c r="Z23" s="62">
        <f t="shared" si="1"/>
        <v>7428</v>
      </c>
      <c r="AA23" s="62">
        <f t="shared" si="1"/>
        <v>14994</v>
      </c>
      <c r="AB23" s="62">
        <f t="shared" si="1"/>
        <v>9421</v>
      </c>
      <c r="AC23" s="62">
        <f t="shared" si="1"/>
        <v>10540</v>
      </c>
      <c r="AD23" s="62">
        <f t="shared" si="1"/>
        <v>7308</v>
      </c>
      <c r="AE23" s="62">
        <f t="shared" si="1"/>
        <v>8035</v>
      </c>
      <c r="AF23" s="62">
        <f t="shared" si="1"/>
        <v>10301</v>
      </c>
      <c r="AG23" s="62">
        <f t="shared" si="1"/>
        <v>8950</v>
      </c>
      <c r="AH23" s="62">
        <f t="shared" si="1"/>
        <v>10174</v>
      </c>
      <c r="AI23" s="62">
        <f t="shared" si="1"/>
        <v>0</v>
      </c>
      <c r="AJ23" s="62">
        <f t="shared" si="1"/>
        <v>10793</v>
      </c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59"/>
      <c r="F24" s="59"/>
      <c r="G24" s="62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59"/>
      <c r="F25" s="59"/>
      <c r="G25" s="62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59"/>
      <c r="F26" s="59"/>
      <c r="G26" s="62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59"/>
      <c r="F27" s="59"/>
      <c r="G27" s="62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59"/>
      <c r="F28" s="59"/>
      <c r="G28" s="62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59"/>
      <c r="F29" s="59"/>
      <c r="G29" s="62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59"/>
      <c r="F30" s="59"/>
      <c r="G30" s="62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59"/>
      <c r="F31" s="59"/>
      <c r="G31" s="62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59"/>
      <c r="F32" s="59"/>
      <c r="G32" s="62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59"/>
      <c r="F33" s="59"/>
      <c r="G33" s="62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59"/>
      <c r="F34" s="59"/>
      <c r="G34" s="62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59"/>
      <c r="F35" s="59"/>
      <c r="G35" s="62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59"/>
      <c r="F36" s="59"/>
      <c r="G36" s="62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59"/>
      <c r="F37" s="59"/>
      <c r="G37" s="62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59"/>
      <c r="F38" s="59"/>
      <c r="G38" s="62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59"/>
      <c r="F39" s="59"/>
      <c r="G39" s="62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59"/>
      <c r="F40" s="59"/>
      <c r="G40" s="62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59"/>
      <c r="F41" s="59"/>
      <c r="G41" s="62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59"/>
      <c r="F42" s="59"/>
      <c r="G42" s="62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59"/>
      <c r="F43" s="59"/>
      <c r="G43" s="62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59"/>
      <c r="F44" s="59"/>
      <c r="G44" s="62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59"/>
      <c r="F45" s="59"/>
      <c r="G45" s="62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59"/>
      <c r="F46" s="59"/>
      <c r="G46" s="63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x14ac:dyDescent="0.3">
      <c r="A47" s="95"/>
      <c r="B47" s="95"/>
      <c r="C47" s="47" t="s">
        <v>15</v>
      </c>
      <c r="D47" s="39">
        <f>SUM(E47:AH47)</f>
        <v>33534</v>
      </c>
      <c r="E47" s="59">
        <v>1600</v>
      </c>
      <c r="F47" s="59">
        <v>800</v>
      </c>
      <c r="G47" s="59">
        <v>0</v>
      </c>
      <c r="H47" s="59">
        <v>0</v>
      </c>
      <c r="I47" s="59">
        <v>0</v>
      </c>
      <c r="J47" s="59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59">
        <v>0</v>
      </c>
      <c r="Q47" s="59">
        <v>0</v>
      </c>
      <c r="R47" s="59">
        <v>0</v>
      </c>
      <c r="S47" s="59">
        <v>0</v>
      </c>
      <c r="T47" s="60">
        <v>1706</v>
      </c>
      <c r="U47" s="60">
        <v>1500</v>
      </c>
      <c r="V47" s="60">
        <f>970+1100</f>
        <v>2070</v>
      </c>
      <c r="W47" s="60">
        <f>1490+1050</f>
        <v>2540</v>
      </c>
      <c r="X47" s="60">
        <v>2106</v>
      </c>
      <c r="Y47" s="60">
        <f>980+900</f>
        <v>1880</v>
      </c>
      <c r="Z47" s="60">
        <v>1710</v>
      </c>
      <c r="AA47" s="60">
        <f>1890+1050</f>
        <v>2940</v>
      </c>
      <c r="AB47" s="60">
        <f>1106+1000</f>
        <v>2106</v>
      </c>
      <c r="AC47" s="60">
        <f>1500+900</f>
        <v>2400</v>
      </c>
      <c r="AD47" s="60">
        <f>800+630</f>
        <v>1430</v>
      </c>
      <c r="AE47" s="60">
        <f>850+1460</f>
        <v>2310</v>
      </c>
      <c r="AF47" s="60">
        <f>960+1106</f>
        <v>2066</v>
      </c>
      <c r="AG47" s="60">
        <f>300+1900</f>
        <v>2200</v>
      </c>
      <c r="AH47" s="60">
        <f>670+1500</f>
        <v>2170</v>
      </c>
      <c r="AI47" s="60"/>
      <c r="AJ47" s="60">
        <f>950+1460</f>
        <v>2410</v>
      </c>
    </row>
    <row r="48" spans="1:36" ht="16.5" customHeight="1" x14ac:dyDescent="0.3">
      <c r="A48" s="88" t="s">
        <v>4</v>
      </c>
      <c r="B48" s="89"/>
      <c r="C48" s="90"/>
      <c r="D48" s="39">
        <f>SUM(E48:AH48)</f>
        <v>33534</v>
      </c>
      <c r="E48" s="64">
        <f t="shared" ref="E48:AH48" si="3">SUM(E46:E47)</f>
        <v>1600</v>
      </c>
      <c r="F48" s="64">
        <f t="shared" si="3"/>
        <v>800</v>
      </c>
      <c r="G48" s="64">
        <f t="shared" si="3"/>
        <v>0</v>
      </c>
      <c r="H48" s="64">
        <f t="shared" si="3"/>
        <v>0</v>
      </c>
      <c r="I48" s="64">
        <f t="shared" si="3"/>
        <v>0</v>
      </c>
      <c r="J48" s="64">
        <f t="shared" si="3"/>
        <v>0</v>
      </c>
      <c r="K48" s="64">
        <f t="shared" si="3"/>
        <v>0</v>
      </c>
      <c r="L48" s="64">
        <f t="shared" si="3"/>
        <v>0</v>
      </c>
      <c r="M48" s="64">
        <f t="shared" si="3"/>
        <v>0</v>
      </c>
      <c r="N48" s="64">
        <f t="shared" si="3"/>
        <v>0</v>
      </c>
      <c r="O48" s="64">
        <f t="shared" si="3"/>
        <v>0</v>
      </c>
      <c r="P48" s="64">
        <f t="shared" si="3"/>
        <v>0</v>
      </c>
      <c r="Q48" s="64">
        <f t="shared" si="3"/>
        <v>0</v>
      </c>
      <c r="R48" s="64">
        <f t="shared" si="3"/>
        <v>0</v>
      </c>
      <c r="S48" s="64">
        <f t="shared" si="3"/>
        <v>0</v>
      </c>
      <c r="T48" s="64">
        <f t="shared" si="3"/>
        <v>1706</v>
      </c>
      <c r="U48" s="64">
        <f t="shared" si="3"/>
        <v>1500</v>
      </c>
      <c r="V48" s="64">
        <f t="shared" si="3"/>
        <v>2070</v>
      </c>
      <c r="W48" s="64">
        <f t="shared" si="3"/>
        <v>2540</v>
      </c>
      <c r="X48" s="64">
        <f t="shared" si="3"/>
        <v>2106</v>
      </c>
      <c r="Y48" s="64">
        <f t="shared" si="3"/>
        <v>1880</v>
      </c>
      <c r="Z48" s="64">
        <f t="shared" si="3"/>
        <v>1710</v>
      </c>
      <c r="AA48" s="64">
        <f t="shared" si="3"/>
        <v>2940</v>
      </c>
      <c r="AB48" s="64">
        <f t="shared" si="3"/>
        <v>2106</v>
      </c>
      <c r="AC48" s="64">
        <f t="shared" si="3"/>
        <v>2400</v>
      </c>
      <c r="AD48" s="64">
        <f t="shared" si="3"/>
        <v>1430</v>
      </c>
      <c r="AE48" s="64">
        <f t="shared" si="3"/>
        <v>2310</v>
      </c>
      <c r="AF48" s="64">
        <f t="shared" si="3"/>
        <v>2066</v>
      </c>
      <c r="AG48" s="64">
        <f t="shared" si="3"/>
        <v>2200</v>
      </c>
      <c r="AH48" s="64">
        <f t="shared" si="3"/>
        <v>2170</v>
      </c>
      <c r="AI48" s="64">
        <f t="shared" ref="AI48:AJ48" si="4">SUM(AI46:AI47)</f>
        <v>0</v>
      </c>
      <c r="AJ48" s="64">
        <f t="shared" si="4"/>
        <v>2410</v>
      </c>
    </row>
    <row r="49" spans="1:36" ht="16.5" customHeight="1" x14ac:dyDescent="0.3">
      <c r="A49" s="100" t="s">
        <v>5</v>
      </c>
      <c r="B49" s="101"/>
      <c r="C49" s="102"/>
      <c r="D49" s="51">
        <f>SUM(E49:AH49)</f>
        <v>185570</v>
      </c>
      <c r="E49" s="65">
        <f t="shared" ref="E49:AJ49" si="5">SUM(E23,E48)</f>
        <v>8700</v>
      </c>
      <c r="F49" s="65">
        <f t="shared" si="5"/>
        <v>2814</v>
      </c>
      <c r="G49" s="65">
        <f t="shared" si="5"/>
        <v>0</v>
      </c>
      <c r="H49" s="65">
        <f t="shared" si="5"/>
        <v>0</v>
      </c>
      <c r="I49" s="65">
        <f t="shared" si="5"/>
        <v>0</v>
      </c>
      <c r="J49" s="65">
        <f t="shared" si="5"/>
        <v>0</v>
      </c>
      <c r="K49" s="65">
        <f t="shared" si="5"/>
        <v>0</v>
      </c>
      <c r="L49" s="65">
        <f t="shared" si="5"/>
        <v>0</v>
      </c>
      <c r="M49" s="65">
        <f t="shared" si="5"/>
        <v>0</v>
      </c>
      <c r="N49" s="65">
        <f t="shared" si="5"/>
        <v>0</v>
      </c>
      <c r="O49" s="65">
        <f t="shared" si="5"/>
        <v>0</v>
      </c>
      <c r="P49" s="65">
        <f t="shared" si="5"/>
        <v>0</v>
      </c>
      <c r="Q49" s="65">
        <f t="shared" si="5"/>
        <v>0</v>
      </c>
      <c r="R49" s="65">
        <f t="shared" si="5"/>
        <v>0</v>
      </c>
      <c r="S49" s="65">
        <f t="shared" si="5"/>
        <v>0</v>
      </c>
      <c r="T49" s="65">
        <f t="shared" si="5"/>
        <v>9662</v>
      </c>
      <c r="U49" s="65">
        <f t="shared" si="5"/>
        <v>9780</v>
      </c>
      <c r="V49" s="65">
        <f t="shared" si="5"/>
        <v>11356</v>
      </c>
      <c r="W49" s="65">
        <f t="shared" si="5"/>
        <v>14248</v>
      </c>
      <c r="X49" s="65">
        <f t="shared" si="5"/>
        <v>12177</v>
      </c>
      <c r="Y49" s="65">
        <f t="shared" si="5"/>
        <v>10350</v>
      </c>
      <c r="Z49" s="65">
        <f t="shared" si="5"/>
        <v>9138</v>
      </c>
      <c r="AA49" s="65">
        <f t="shared" si="5"/>
        <v>17934</v>
      </c>
      <c r="AB49" s="65">
        <f t="shared" si="5"/>
        <v>11527</v>
      </c>
      <c r="AC49" s="65">
        <f t="shared" si="5"/>
        <v>12940</v>
      </c>
      <c r="AD49" s="65">
        <f t="shared" si="5"/>
        <v>8738</v>
      </c>
      <c r="AE49" s="65">
        <f t="shared" si="5"/>
        <v>10345</v>
      </c>
      <c r="AF49" s="65">
        <f t="shared" si="5"/>
        <v>12367</v>
      </c>
      <c r="AG49" s="65">
        <f t="shared" si="5"/>
        <v>11150</v>
      </c>
      <c r="AH49" s="65">
        <f t="shared" si="5"/>
        <v>12344</v>
      </c>
      <c r="AI49" s="65">
        <f t="shared" si="5"/>
        <v>0</v>
      </c>
      <c r="AJ49" s="65">
        <f t="shared" si="5"/>
        <v>13203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2"/>
  <sheetViews>
    <sheetView showGridLines="0" zoomScale="85" zoomScaleNormal="85" workbookViewId="0">
      <pane xSplit="3" ySplit="4" topLeftCell="D5" activePane="bottomRight" state="frozen"/>
      <selection pane="topRight"/>
      <selection pane="bottomLeft"/>
      <selection pane="bottomRight" activeCell="E55" sqref="E55"/>
    </sheetView>
  </sheetViews>
  <sheetFormatPr defaultColWidth="8.75" defaultRowHeight="16.5" x14ac:dyDescent="0.3"/>
  <cols>
    <col min="1" max="1" width="20.25" style="31" bestFit="1" customWidth="1"/>
    <col min="2" max="2" width="7.375" style="31" customWidth="1"/>
    <col min="3" max="3" width="20.25" style="31" bestFit="1" customWidth="1"/>
    <col min="4" max="4" width="10.375" style="31" customWidth="1"/>
    <col min="5" max="33" width="9.125" style="31" customWidth="1"/>
    <col min="34" max="34" width="8.875" style="31" bestFit="1" customWidth="1"/>
    <col min="35" max="35" width="8.875" style="31" hidden="1" customWidth="1"/>
    <col min="36" max="36" width="8.75" style="31" bestFit="1" customWidth="1"/>
    <col min="37" max="16384" width="8.75" style="31"/>
  </cols>
  <sheetData>
    <row r="1" spans="1:36" ht="34.5" customHeight="1" x14ac:dyDescent="0.3">
      <c r="B1" s="32"/>
      <c r="C1" s="32"/>
      <c r="D1" s="86" t="s">
        <v>100</v>
      </c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</row>
    <row r="2" spans="1:36" ht="14.25" customHeight="1" x14ac:dyDescent="0.3">
      <c r="A2" s="33"/>
      <c r="B2" s="34"/>
      <c r="C2" s="34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34"/>
      <c r="Q2" s="34"/>
    </row>
    <row r="3" spans="1:36" ht="16.5" customHeight="1" x14ac:dyDescent="0.3">
      <c r="A3" s="88" t="s">
        <v>20</v>
      </c>
      <c r="B3" s="89"/>
      <c r="C3" s="90"/>
      <c r="D3" s="91" t="s">
        <v>6</v>
      </c>
      <c r="E3" s="35">
        <v>1</v>
      </c>
      <c r="F3" s="35">
        <v>2</v>
      </c>
      <c r="G3" s="35">
        <v>3</v>
      </c>
      <c r="H3" s="35">
        <v>4</v>
      </c>
      <c r="I3" s="35">
        <v>5</v>
      </c>
      <c r="J3" s="35">
        <v>6</v>
      </c>
      <c r="K3" s="35">
        <v>7</v>
      </c>
      <c r="L3" s="35">
        <v>8</v>
      </c>
      <c r="M3" s="35">
        <v>9</v>
      </c>
      <c r="N3" s="35">
        <v>10</v>
      </c>
      <c r="O3" s="35">
        <v>11</v>
      </c>
      <c r="P3" s="35">
        <v>12</v>
      </c>
      <c r="Q3" s="35">
        <v>13</v>
      </c>
      <c r="R3" s="35">
        <v>14</v>
      </c>
      <c r="S3" s="35">
        <v>15</v>
      </c>
      <c r="T3" s="35">
        <v>16</v>
      </c>
      <c r="U3" s="35">
        <v>17</v>
      </c>
      <c r="V3" s="35">
        <v>18</v>
      </c>
      <c r="W3" s="35">
        <v>19</v>
      </c>
      <c r="X3" s="35">
        <v>20</v>
      </c>
      <c r="Y3" s="35">
        <v>21</v>
      </c>
      <c r="Z3" s="35">
        <v>22</v>
      </c>
      <c r="AA3" s="35">
        <v>23</v>
      </c>
      <c r="AB3" s="35">
        <v>24</v>
      </c>
      <c r="AC3" s="35">
        <v>25</v>
      </c>
      <c r="AD3" s="35">
        <v>26</v>
      </c>
      <c r="AE3" s="35">
        <v>27</v>
      </c>
      <c r="AF3" s="35">
        <v>28</v>
      </c>
      <c r="AG3" s="35">
        <v>29</v>
      </c>
      <c r="AH3" s="35">
        <v>30</v>
      </c>
      <c r="AI3" s="35">
        <v>31</v>
      </c>
      <c r="AJ3" s="35"/>
    </row>
    <row r="4" spans="1:36" ht="16.5" customHeight="1" x14ac:dyDescent="0.3">
      <c r="A4" s="88" t="s">
        <v>19</v>
      </c>
      <c r="B4" s="89"/>
      <c r="C4" s="90"/>
      <c r="D4" s="92"/>
      <c r="E4" s="36" t="s">
        <v>77</v>
      </c>
      <c r="F4" s="36" t="s">
        <v>78</v>
      </c>
      <c r="G4" s="36" t="s">
        <v>79</v>
      </c>
      <c r="H4" s="36" t="s">
        <v>80</v>
      </c>
      <c r="I4" s="36" t="s">
        <v>81</v>
      </c>
      <c r="J4" s="36" t="s">
        <v>75</v>
      </c>
      <c r="K4" s="36" t="s">
        <v>76</v>
      </c>
      <c r="L4" s="36" t="s">
        <v>77</v>
      </c>
      <c r="M4" s="36" t="s">
        <v>78</v>
      </c>
      <c r="N4" s="36" t="s">
        <v>79</v>
      </c>
      <c r="O4" s="36" t="s">
        <v>80</v>
      </c>
      <c r="P4" s="36" t="s">
        <v>81</v>
      </c>
      <c r="Q4" s="36" t="s">
        <v>75</v>
      </c>
      <c r="R4" s="36" t="s">
        <v>76</v>
      </c>
      <c r="S4" s="36" t="s">
        <v>55</v>
      </c>
      <c r="T4" s="36" t="s">
        <v>56</v>
      </c>
      <c r="U4" s="36" t="s">
        <v>57</v>
      </c>
      <c r="V4" s="36" t="s">
        <v>58</v>
      </c>
      <c r="W4" s="36" t="s">
        <v>59</v>
      </c>
      <c r="X4" s="36" t="s">
        <v>60</v>
      </c>
      <c r="Y4" s="36" t="s">
        <v>61</v>
      </c>
      <c r="Z4" s="36" t="s">
        <v>55</v>
      </c>
      <c r="AA4" s="36" t="s">
        <v>56</v>
      </c>
      <c r="AB4" s="36" t="s">
        <v>57</v>
      </c>
      <c r="AC4" s="36" t="s">
        <v>58</v>
      </c>
      <c r="AD4" s="36" t="s">
        <v>59</v>
      </c>
      <c r="AE4" s="36" t="s">
        <v>60</v>
      </c>
      <c r="AF4" s="36" t="s">
        <v>61</v>
      </c>
      <c r="AG4" s="36" t="s">
        <v>55</v>
      </c>
      <c r="AH4" s="36" t="s">
        <v>56</v>
      </c>
      <c r="AI4" s="36"/>
      <c r="AJ4" s="36"/>
    </row>
    <row r="5" spans="1:36" ht="26.25" customHeight="1" x14ac:dyDescent="0.3">
      <c r="A5" s="93" t="s">
        <v>32</v>
      </c>
      <c r="B5" s="96" t="s">
        <v>31</v>
      </c>
      <c r="C5" s="97"/>
      <c r="D5" s="37"/>
      <c r="E5" s="38" t="s">
        <v>101</v>
      </c>
      <c r="F5" s="38" t="s">
        <v>102</v>
      </c>
      <c r="G5" s="38" t="s">
        <v>103</v>
      </c>
      <c r="H5" s="38" t="s">
        <v>101</v>
      </c>
      <c r="I5" s="38" t="s">
        <v>101</v>
      </c>
      <c r="J5" s="38" t="s">
        <v>102</v>
      </c>
      <c r="K5" s="38" t="s">
        <v>104</v>
      </c>
      <c r="L5" s="38" t="s">
        <v>101</v>
      </c>
      <c r="M5" s="38" t="s">
        <v>102</v>
      </c>
      <c r="N5" s="38" t="s">
        <v>105</v>
      </c>
      <c r="O5" s="38" t="s">
        <v>103</v>
      </c>
      <c r="P5" s="38" t="s">
        <v>106</v>
      </c>
      <c r="Q5" s="38" t="s">
        <v>101</v>
      </c>
      <c r="R5" s="38" t="s">
        <v>105</v>
      </c>
      <c r="S5" s="38" t="s">
        <v>65</v>
      </c>
      <c r="T5" s="38" t="s">
        <v>107</v>
      </c>
      <c r="U5" s="38" t="s">
        <v>107</v>
      </c>
      <c r="V5" s="38" t="s">
        <v>65</v>
      </c>
      <c r="W5" s="38" t="s">
        <v>65</v>
      </c>
      <c r="X5" s="38" t="s">
        <v>65</v>
      </c>
      <c r="Y5" s="38" t="s">
        <v>65</v>
      </c>
      <c r="Z5" s="38" t="s">
        <v>65</v>
      </c>
      <c r="AA5" s="38" t="s">
        <v>65</v>
      </c>
      <c r="AB5" s="38" t="s">
        <v>65</v>
      </c>
      <c r="AC5" s="38" t="s">
        <v>65</v>
      </c>
      <c r="AD5" s="38" t="s">
        <v>65</v>
      </c>
      <c r="AE5" s="38" t="s">
        <v>65</v>
      </c>
      <c r="AF5" s="38" t="s">
        <v>65</v>
      </c>
      <c r="AG5" s="38" t="s">
        <v>65</v>
      </c>
      <c r="AH5" s="38" t="s">
        <v>65</v>
      </c>
      <c r="AI5" s="53"/>
      <c r="AJ5" s="38"/>
    </row>
    <row r="6" spans="1:36" ht="16.5" customHeight="1" x14ac:dyDescent="0.3">
      <c r="A6" s="94"/>
      <c r="B6" s="98" t="s">
        <v>22</v>
      </c>
      <c r="C6" s="99"/>
      <c r="D6" s="39">
        <f>SUM(E6:AH6)</f>
        <v>3175</v>
      </c>
      <c r="E6" s="41">
        <v>0</v>
      </c>
      <c r="F6" s="41">
        <v>120</v>
      </c>
      <c r="G6" s="41">
        <v>0</v>
      </c>
      <c r="H6" s="41">
        <v>850</v>
      </c>
      <c r="I6" s="41">
        <v>0</v>
      </c>
      <c r="J6" s="41">
        <v>120</v>
      </c>
      <c r="K6" s="41">
        <v>0</v>
      </c>
      <c r="L6" s="41">
        <v>350</v>
      </c>
      <c r="M6" s="41">
        <v>0</v>
      </c>
      <c r="N6" s="41">
        <v>120</v>
      </c>
      <c r="O6" s="42">
        <v>0</v>
      </c>
      <c r="P6" s="41">
        <v>100</v>
      </c>
      <c r="Q6" s="41">
        <v>0</v>
      </c>
      <c r="R6" s="43">
        <v>120</v>
      </c>
      <c r="S6" s="59"/>
      <c r="T6" s="60">
        <v>335</v>
      </c>
      <c r="U6" s="60"/>
      <c r="V6" s="60"/>
      <c r="W6" s="60"/>
      <c r="X6" s="60">
        <v>200</v>
      </c>
      <c r="Y6" s="60"/>
      <c r="Z6" s="60">
        <v>120</v>
      </c>
      <c r="AA6" s="60"/>
      <c r="AB6" s="60">
        <v>200</v>
      </c>
      <c r="AC6" s="60"/>
      <c r="AD6" s="60">
        <v>120</v>
      </c>
      <c r="AE6" s="60"/>
      <c r="AF6" s="60">
        <v>300</v>
      </c>
      <c r="AG6" s="60"/>
      <c r="AH6" s="61">
        <v>120</v>
      </c>
      <c r="AI6" s="60"/>
      <c r="AJ6" s="61"/>
    </row>
    <row r="7" spans="1:36" ht="16.5" customHeight="1" x14ac:dyDescent="0.3">
      <c r="A7" s="94"/>
      <c r="B7" s="98" t="s">
        <v>23</v>
      </c>
      <c r="C7" s="99"/>
      <c r="D7" s="39">
        <f t="shared" ref="D7:D22" si="0">SUM(E7:AH7)</f>
        <v>50024</v>
      </c>
      <c r="E7" s="41">
        <v>1400</v>
      </c>
      <c r="F7" s="41">
        <v>2000</v>
      </c>
      <c r="G7" s="41">
        <v>2030</v>
      </c>
      <c r="H7" s="41">
        <v>2153</v>
      </c>
      <c r="I7" s="41">
        <v>2200</v>
      </c>
      <c r="J7" s="41">
        <v>2200</v>
      </c>
      <c r="K7" s="41">
        <v>880</v>
      </c>
      <c r="L7" s="41">
        <v>840</v>
      </c>
      <c r="M7" s="41">
        <v>500</v>
      </c>
      <c r="N7" s="41">
        <v>2100</v>
      </c>
      <c r="O7" s="41">
        <v>750</v>
      </c>
      <c r="P7" s="41">
        <v>2053</v>
      </c>
      <c r="Q7" s="41">
        <v>800</v>
      </c>
      <c r="R7" s="43">
        <v>2100</v>
      </c>
      <c r="S7" s="59">
        <v>1880</v>
      </c>
      <c r="T7" s="60">
        <v>702</v>
      </c>
      <c r="U7" s="60">
        <v>920</v>
      </c>
      <c r="V7" s="60">
        <v>2400</v>
      </c>
      <c r="W7" s="60">
        <v>2880</v>
      </c>
      <c r="X7" s="60">
        <v>2040</v>
      </c>
      <c r="Y7" s="60">
        <v>800</v>
      </c>
      <c r="Z7" s="60">
        <v>780</v>
      </c>
      <c r="AA7" s="60">
        <v>2880</v>
      </c>
      <c r="AB7" s="61">
        <v>1353</v>
      </c>
      <c r="AC7" s="60">
        <v>800</v>
      </c>
      <c r="AD7" s="60">
        <v>2300</v>
      </c>
      <c r="AE7" s="60">
        <v>3010</v>
      </c>
      <c r="AF7" s="60">
        <v>1303</v>
      </c>
      <c r="AG7" s="60">
        <v>1050</v>
      </c>
      <c r="AH7" s="60">
        <v>2920</v>
      </c>
      <c r="AI7" s="60"/>
      <c r="AJ7" s="60"/>
    </row>
    <row r="8" spans="1:36" ht="16.5" customHeight="1" x14ac:dyDescent="0.3">
      <c r="A8" s="94"/>
      <c r="B8" s="98" t="s">
        <v>25</v>
      </c>
      <c r="C8" s="99"/>
      <c r="D8" s="39">
        <f t="shared" si="0"/>
        <v>60493</v>
      </c>
      <c r="E8" s="41">
        <v>2916</v>
      </c>
      <c r="F8" s="41">
        <v>570</v>
      </c>
      <c r="G8" s="41">
        <v>3150</v>
      </c>
      <c r="H8" s="41">
        <v>5780</v>
      </c>
      <c r="I8" s="41">
        <v>3716</v>
      </c>
      <c r="J8" s="41">
        <v>1070</v>
      </c>
      <c r="K8" s="41">
        <v>1850</v>
      </c>
      <c r="L8" s="41">
        <v>3350</v>
      </c>
      <c r="M8" s="41">
        <v>1586</v>
      </c>
      <c r="N8" s="41">
        <v>820</v>
      </c>
      <c r="O8" s="41">
        <v>1200</v>
      </c>
      <c r="P8" s="41">
        <v>1910</v>
      </c>
      <c r="Q8" s="41">
        <v>1986</v>
      </c>
      <c r="R8" s="43">
        <v>620</v>
      </c>
      <c r="S8" s="59">
        <v>2050</v>
      </c>
      <c r="T8" s="60">
        <v>2155</v>
      </c>
      <c r="U8" s="60">
        <v>1586</v>
      </c>
      <c r="V8" s="60">
        <v>920</v>
      </c>
      <c r="W8" s="60">
        <v>2550</v>
      </c>
      <c r="X8" s="60">
        <v>2980</v>
      </c>
      <c r="Y8" s="60">
        <v>1586</v>
      </c>
      <c r="Z8" s="60">
        <v>920</v>
      </c>
      <c r="AA8" s="60">
        <v>1750</v>
      </c>
      <c r="AB8" s="60">
        <v>2960</v>
      </c>
      <c r="AC8" s="60">
        <v>1586</v>
      </c>
      <c r="AD8" s="60">
        <v>920</v>
      </c>
      <c r="AE8" s="60">
        <v>2050</v>
      </c>
      <c r="AF8" s="60">
        <v>3050</v>
      </c>
      <c r="AG8" s="60">
        <v>1986</v>
      </c>
      <c r="AH8" s="60">
        <v>920</v>
      </c>
      <c r="AI8" s="60"/>
      <c r="AJ8" s="60"/>
    </row>
    <row r="9" spans="1:36" ht="16.5" customHeight="1" x14ac:dyDescent="0.3">
      <c r="A9" s="94"/>
      <c r="B9" s="98" t="s">
        <v>29</v>
      </c>
      <c r="C9" s="99"/>
      <c r="D9" s="39">
        <f t="shared" si="0"/>
        <v>62475</v>
      </c>
      <c r="E9" s="41">
        <v>3170</v>
      </c>
      <c r="F9" s="41">
        <v>1420</v>
      </c>
      <c r="G9" s="41">
        <v>1165</v>
      </c>
      <c r="H9" s="41">
        <v>2785</v>
      </c>
      <c r="I9" s="41">
        <v>4470</v>
      </c>
      <c r="J9" s="41">
        <v>2990</v>
      </c>
      <c r="K9" s="41">
        <v>800</v>
      </c>
      <c r="L9" s="41">
        <v>2420</v>
      </c>
      <c r="M9" s="41">
        <v>1500</v>
      </c>
      <c r="N9" s="41">
        <v>1600</v>
      </c>
      <c r="O9" s="41">
        <v>500</v>
      </c>
      <c r="P9" s="41">
        <v>2555</v>
      </c>
      <c r="Q9" s="41">
        <v>1903</v>
      </c>
      <c r="R9" s="43">
        <v>1350</v>
      </c>
      <c r="S9" s="59">
        <v>1170</v>
      </c>
      <c r="T9" s="60">
        <v>2285</v>
      </c>
      <c r="U9" s="60">
        <v>1873</v>
      </c>
      <c r="V9" s="60">
        <v>1850</v>
      </c>
      <c r="W9" s="60">
        <v>1790</v>
      </c>
      <c r="X9" s="60">
        <v>2730</v>
      </c>
      <c r="Y9" s="60">
        <v>1773</v>
      </c>
      <c r="Z9" s="60">
        <v>1770</v>
      </c>
      <c r="AA9" s="60">
        <v>1720</v>
      </c>
      <c r="AB9" s="60">
        <v>2165</v>
      </c>
      <c r="AC9" s="60">
        <v>1773</v>
      </c>
      <c r="AD9" s="60">
        <v>1750</v>
      </c>
      <c r="AE9" s="60">
        <v>1860</v>
      </c>
      <c r="AF9" s="60">
        <v>2385</v>
      </c>
      <c r="AG9" s="60">
        <v>2503</v>
      </c>
      <c r="AH9" s="60">
        <v>4450</v>
      </c>
      <c r="AI9" s="60"/>
      <c r="AJ9" s="60"/>
    </row>
    <row r="10" spans="1:36" ht="16.5" customHeight="1" x14ac:dyDescent="0.3">
      <c r="A10" s="94"/>
      <c r="B10" s="96" t="s">
        <v>18</v>
      </c>
      <c r="C10" s="97"/>
      <c r="D10" s="39">
        <f t="shared" si="0"/>
        <v>0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 ht="16.5" customHeight="1" x14ac:dyDescent="0.3">
      <c r="A11" s="94"/>
      <c r="B11" s="96" t="s">
        <v>39</v>
      </c>
      <c r="C11" s="97"/>
      <c r="D11" s="39">
        <f t="shared" si="0"/>
        <v>0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 ht="16.5" customHeight="1" x14ac:dyDescent="0.3">
      <c r="A12" s="94"/>
      <c r="B12" s="98" t="s">
        <v>45</v>
      </c>
      <c r="C12" s="99"/>
      <c r="D12" s="39">
        <f t="shared" si="0"/>
        <v>0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 ht="16.5" customHeight="1" x14ac:dyDescent="0.3">
      <c r="A13" s="94"/>
      <c r="B13" s="96" t="s">
        <v>47</v>
      </c>
      <c r="C13" s="97"/>
      <c r="D13" s="39">
        <f t="shared" si="0"/>
        <v>0</v>
      </c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spans="1:36" ht="16.5" customHeight="1" x14ac:dyDescent="0.3">
      <c r="A14" s="94"/>
      <c r="B14" s="96" t="s">
        <v>3</v>
      </c>
      <c r="C14" s="97"/>
      <c r="D14" s="39">
        <f t="shared" si="0"/>
        <v>0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spans="1:36" ht="16.5" customHeight="1" x14ac:dyDescent="0.3">
      <c r="A15" s="94"/>
      <c r="B15" s="96" t="s">
        <v>8</v>
      </c>
      <c r="C15" s="97"/>
      <c r="D15" s="39">
        <f t="shared" si="0"/>
        <v>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ht="16.5" customHeight="1" x14ac:dyDescent="0.3">
      <c r="A16" s="94"/>
      <c r="B16" s="96" t="s">
        <v>14</v>
      </c>
      <c r="C16" s="97"/>
      <c r="D16" s="39">
        <f t="shared" si="0"/>
        <v>0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spans="1:36" ht="16.5" customHeight="1" x14ac:dyDescent="0.3">
      <c r="A17" s="94"/>
      <c r="B17" s="96" t="s">
        <v>27</v>
      </c>
      <c r="C17" s="97"/>
      <c r="D17" s="39">
        <f t="shared" si="0"/>
        <v>0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spans="1:36" ht="16.5" customHeight="1" x14ac:dyDescent="0.3">
      <c r="A18" s="94"/>
      <c r="B18" s="98" t="s">
        <v>1</v>
      </c>
      <c r="C18" s="99"/>
      <c r="D18" s="39">
        <f t="shared" si="0"/>
        <v>107795</v>
      </c>
      <c r="E18" s="41">
        <v>3865</v>
      </c>
      <c r="F18" s="41">
        <v>2060</v>
      </c>
      <c r="G18" s="41">
        <v>4570</v>
      </c>
      <c r="H18" s="41">
        <v>6075</v>
      </c>
      <c r="I18" s="41">
        <v>5265</v>
      </c>
      <c r="J18" s="41">
        <v>3210</v>
      </c>
      <c r="K18" s="41">
        <v>1830</v>
      </c>
      <c r="L18" s="41">
        <v>3710</v>
      </c>
      <c r="M18" s="41">
        <v>2365</v>
      </c>
      <c r="N18" s="41">
        <v>3490</v>
      </c>
      <c r="O18" s="41">
        <v>1630</v>
      </c>
      <c r="P18" s="41">
        <v>2770</v>
      </c>
      <c r="Q18" s="41">
        <v>3395</v>
      </c>
      <c r="R18" s="43">
        <v>3690</v>
      </c>
      <c r="S18" s="59">
        <v>3260</v>
      </c>
      <c r="T18" s="60">
        <v>2590</v>
      </c>
      <c r="U18" s="60">
        <v>3165</v>
      </c>
      <c r="V18" s="60">
        <v>3790</v>
      </c>
      <c r="W18" s="60">
        <v>4960</v>
      </c>
      <c r="X18" s="60">
        <v>4910</v>
      </c>
      <c r="Y18" s="61">
        <v>3095</v>
      </c>
      <c r="Z18" s="61">
        <v>2370</v>
      </c>
      <c r="AA18" s="60">
        <v>4860</v>
      </c>
      <c r="AB18" s="60">
        <v>3930</v>
      </c>
      <c r="AC18" s="60">
        <v>2895</v>
      </c>
      <c r="AD18" s="60">
        <v>3990</v>
      </c>
      <c r="AE18" s="60">
        <v>5490</v>
      </c>
      <c r="AF18" s="60">
        <v>4180</v>
      </c>
      <c r="AG18" s="60">
        <v>2995</v>
      </c>
      <c r="AH18" s="61">
        <v>3390</v>
      </c>
      <c r="AI18" s="60"/>
      <c r="AJ18" s="60"/>
    </row>
    <row r="19" spans="1:36" ht="16.5" customHeight="1" x14ac:dyDescent="0.3">
      <c r="A19" s="94"/>
      <c r="B19" s="96" t="s">
        <v>2</v>
      </c>
      <c r="C19" s="97"/>
      <c r="D19" s="39">
        <f t="shared" si="0"/>
        <v>0</v>
      </c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3"/>
      <c r="S19" s="59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1" t="s">
        <v>96</v>
      </c>
      <c r="AI19" s="60"/>
      <c r="AJ19" s="60"/>
    </row>
    <row r="20" spans="1:36" ht="16.5" customHeight="1" x14ac:dyDescent="0.3">
      <c r="A20" s="94"/>
      <c r="B20" s="98" t="s">
        <v>16</v>
      </c>
      <c r="C20" s="99"/>
      <c r="D20" s="39">
        <f t="shared" si="0"/>
        <v>16072</v>
      </c>
      <c r="E20" s="41">
        <v>835</v>
      </c>
      <c r="F20" s="41">
        <v>450</v>
      </c>
      <c r="G20" s="41">
        <v>441</v>
      </c>
      <c r="H20" s="41">
        <v>368</v>
      </c>
      <c r="I20" s="41">
        <v>1185</v>
      </c>
      <c r="J20" s="41">
        <v>320</v>
      </c>
      <c r="K20" s="41">
        <v>237</v>
      </c>
      <c r="L20" s="41">
        <v>225</v>
      </c>
      <c r="M20" s="41">
        <v>815</v>
      </c>
      <c r="N20" s="41">
        <v>580</v>
      </c>
      <c r="O20" s="41">
        <v>197</v>
      </c>
      <c r="P20" s="41">
        <v>458</v>
      </c>
      <c r="Q20" s="41">
        <v>975</v>
      </c>
      <c r="R20" s="43">
        <v>570</v>
      </c>
      <c r="S20" s="59">
        <v>327</v>
      </c>
      <c r="T20" s="60">
        <v>588</v>
      </c>
      <c r="U20" s="60">
        <v>805</v>
      </c>
      <c r="V20" s="60">
        <v>540</v>
      </c>
      <c r="W20" s="60">
        <v>418</v>
      </c>
      <c r="X20" s="60">
        <v>270</v>
      </c>
      <c r="Y20" s="60">
        <v>775</v>
      </c>
      <c r="Z20" s="60">
        <v>390</v>
      </c>
      <c r="AA20" s="60">
        <v>408</v>
      </c>
      <c r="AB20" s="60">
        <v>330</v>
      </c>
      <c r="AC20" s="60">
        <v>775</v>
      </c>
      <c r="AD20" s="60">
        <v>520</v>
      </c>
      <c r="AE20" s="60">
        <v>555</v>
      </c>
      <c r="AF20" s="60">
        <v>340</v>
      </c>
      <c r="AG20" s="60">
        <v>775</v>
      </c>
      <c r="AH20" s="61">
        <v>600</v>
      </c>
      <c r="AI20" s="60"/>
      <c r="AJ20" s="60"/>
    </row>
    <row r="21" spans="1:36" ht="16.5" customHeight="1" x14ac:dyDescent="0.3">
      <c r="A21" s="94"/>
      <c r="B21" s="98" t="s">
        <v>10</v>
      </c>
      <c r="C21" s="99"/>
      <c r="D21" s="39">
        <f t="shared" si="0"/>
        <v>9641</v>
      </c>
      <c r="E21" s="41">
        <v>335</v>
      </c>
      <c r="F21" s="41">
        <v>260</v>
      </c>
      <c r="G21" s="41">
        <v>154</v>
      </c>
      <c r="H21" s="41">
        <v>306</v>
      </c>
      <c r="I21" s="41">
        <v>525</v>
      </c>
      <c r="J21" s="41">
        <v>250</v>
      </c>
      <c r="K21" s="41">
        <v>116</v>
      </c>
      <c r="L21" s="41">
        <v>129</v>
      </c>
      <c r="M21" s="41">
        <v>475</v>
      </c>
      <c r="N21" s="41">
        <v>250</v>
      </c>
      <c r="O21" s="41">
        <v>96</v>
      </c>
      <c r="P21" s="41">
        <v>225</v>
      </c>
      <c r="Q21" s="41">
        <v>635</v>
      </c>
      <c r="R21" s="43">
        <v>230</v>
      </c>
      <c r="S21" s="59">
        <v>179</v>
      </c>
      <c r="T21" s="60">
        <v>220</v>
      </c>
      <c r="U21" s="60">
        <v>590</v>
      </c>
      <c r="V21" s="60">
        <v>240</v>
      </c>
      <c r="W21" s="60">
        <v>229</v>
      </c>
      <c r="X21" s="60">
        <v>305</v>
      </c>
      <c r="Y21" s="60">
        <v>585</v>
      </c>
      <c r="Z21" s="60">
        <v>340</v>
      </c>
      <c r="AA21" s="60">
        <v>169</v>
      </c>
      <c r="AB21" s="60">
        <v>295</v>
      </c>
      <c r="AC21" s="60">
        <v>585</v>
      </c>
      <c r="AD21" s="60">
        <v>280</v>
      </c>
      <c r="AE21" s="60">
        <v>239</v>
      </c>
      <c r="AF21" s="60">
        <v>284</v>
      </c>
      <c r="AG21" s="60">
        <v>585</v>
      </c>
      <c r="AH21" s="60">
        <v>530</v>
      </c>
      <c r="AI21" s="60"/>
      <c r="AJ21" s="60"/>
    </row>
    <row r="22" spans="1:36" ht="16.5" customHeight="1" x14ac:dyDescent="0.3">
      <c r="A22" s="95"/>
      <c r="B22" s="98" t="s">
        <v>36</v>
      </c>
      <c r="C22" s="99"/>
      <c r="D22" s="39">
        <f t="shared" si="0"/>
        <v>0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3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</row>
    <row r="23" spans="1:36" ht="16.5" customHeight="1" x14ac:dyDescent="0.3">
      <c r="A23" s="88" t="s">
        <v>4</v>
      </c>
      <c r="B23" s="89"/>
      <c r="C23" s="90"/>
      <c r="D23" s="39">
        <f>SUM(E23:AH23)</f>
        <v>309675</v>
      </c>
      <c r="E23" s="62">
        <f>SUM(E6:E22)</f>
        <v>12521</v>
      </c>
      <c r="F23" s="62">
        <f>SUM(F6:F22)</f>
        <v>6880</v>
      </c>
      <c r="G23" s="62">
        <f>SUM(G6:G22)</f>
        <v>11510</v>
      </c>
      <c r="H23" s="62">
        <f>SUM(H6:H22)</f>
        <v>18317</v>
      </c>
      <c r="I23" s="62">
        <f t="shared" ref="I23:AI23" si="1">SUM(I6:I22)</f>
        <v>17361</v>
      </c>
      <c r="J23" s="62">
        <f t="shared" si="1"/>
        <v>10160</v>
      </c>
      <c r="K23" s="62">
        <f t="shared" si="1"/>
        <v>5713</v>
      </c>
      <c r="L23" s="62">
        <f t="shared" si="1"/>
        <v>11024</v>
      </c>
      <c r="M23" s="62">
        <f t="shared" si="1"/>
        <v>7241</v>
      </c>
      <c r="N23" s="62">
        <f t="shared" si="1"/>
        <v>8960</v>
      </c>
      <c r="O23" s="62">
        <f t="shared" si="1"/>
        <v>4373</v>
      </c>
      <c r="P23" s="62">
        <f t="shared" si="1"/>
        <v>10071</v>
      </c>
      <c r="Q23" s="62">
        <f t="shared" si="1"/>
        <v>9694</v>
      </c>
      <c r="R23" s="62">
        <f t="shared" si="1"/>
        <v>8680</v>
      </c>
      <c r="S23" s="62">
        <f t="shared" si="1"/>
        <v>8866</v>
      </c>
      <c r="T23" s="62">
        <f t="shared" si="1"/>
        <v>8875</v>
      </c>
      <c r="U23" s="62">
        <f t="shared" si="1"/>
        <v>8939</v>
      </c>
      <c r="V23" s="62">
        <f t="shared" si="1"/>
        <v>9740</v>
      </c>
      <c r="W23" s="62">
        <f t="shared" si="1"/>
        <v>12827</v>
      </c>
      <c r="X23" s="62">
        <f t="shared" si="1"/>
        <v>13435</v>
      </c>
      <c r="Y23" s="62">
        <f t="shared" si="1"/>
        <v>8614</v>
      </c>
      <c r="Z23" s="62">
        <f t="shared" si="1"/>
        <v>6690</v>
      </c>
      <c r="AA23" s="62">
        <f t="shared" si="1"/>
        <v>11787</v>
      </c>
      <c r="AB23" s="62">
        <f t="shared" si="1"/>
        <v>11233</v>
      </c>
      <c r="AC23" s="62">
        <f t="shared" si="1"/>
        <v>8414</v>
      </c>
      <c r="AD23" s="62">
        <f t="shared" si="1"/>
        <v>9880</v>
      </c>
      <c r="AE23" s="62">
        <f t="shared" si="1"/>
        <v>13204</v>
      </c>
      <c r="AF23" s="62">
        <f t="shared" si="1"/>
        <v>11842</v>
      </c>
      <c r="AG23" s="62">
        <f t="shared" si="1"/>
        <v>9894</v>
      </c>
      <c r="AH23" s="62">
        <f t="shared" si="1"/>
        <v>12930</v>
      </c>
      <c r="AI23" s="62">
        <f t="shared" si="1"/>
        <v>0</v>
      </c>
      <c r="AJ23" s="62"/>
    </row>
    <row r="24" spans="1:36" ht="16.5" hidden="1" customHeight="1" x14ac:dyDescent="0.3">
      <c r="A24" s="93" t="s">
        <v>24</v>
      </c>
      <c r="B24" s="93" t="s">
        <v>0</v>
      </c>
      <c r="C24" s="36" t="s">
        <v>51</v>
      </c>
      <c r="D24" s="39">
        <f t="shared" ref="D24:D45" si="2">SUM(E24:AF24)</f>
        <v>0</v>
      </c>
      <c r="E24" s="41"/>
      <c r="F24" s="41"/>
      <c r="G24" s="46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3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</row>
    <row r="25" spans="1:36" ht="16.5" hidden="1" customHeight="1" x14ac:dyDescent="0.3">
      <c r="A25" s="94"/>
      <c r="B25" s="94"/>
      <c r="C25" s="36" t="s">
        <v>26</v>
      </c>
      <c r="D25" s="39">
        <f t="shared" si="2"/>
        <v>0</v>
      </c>
      <c r="E25" s="41"/>
      <c r="F25" s="41"/>
      <c r="G25" s="46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3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</row>
    <row r="26" spans="1:36" ht="16.5" hidden="1" customHeight="1" x14ac:dyDescent="0.3">
      <c r="A26" s="94"/>
      <c r="B26" s="94"/>
      <c r="C26" s="36" t="s">
        <v>35</v>
      </c>
      <c r="D26" s="39">
        <f t="shared" si="2"/>
        <v>0</v>
      </c>
      <c r="E26" s="41"/>
      <c r="F26" s="41"/>
      <c r="G26" s="46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3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</row>
    <row r="27" spans="1:36" ht="16.5" hidden="1" customHeight="1" x14ac:dyDescent="0.3">
      <c r="A27" s="94"/>
      <c r="B27" s="94"/>
      <c r="C27" s="36" t="s">
        <v>48</v>
      </c>
      <c r="D27" s="39">
        <f t="shared" si="2"/>
        <v>0</v>
      </c>
      <c r="E27" s="41"/>
      <c r="F27" s="41"/>
      <c r="G27" s="46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3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 ht="16.5" hidden="1" customHeight="1" x14ac:dyDescent="0.3">
      <c r="A28" s="94"/>
      <c r="B28" s="94"/>
      <c r="C28" s="36" t="s">
        <v>41</v>
      </c>
      <c r="D28" s="39">
        <f t="shared" si="2"/>
        <v>0</v>
      </c>
      <c r="E28" s="41"/>
      <c r="F28" s="41"/>
      <c r="G28" s="46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3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 ht="16.5" hidden="1" customHeight="1" x14ac:dyDescent="0.3">
      <c r="A29" s="94"/>
      <c r="B29" s="94"/>
      <c r="C29" s="36" t="s">
        <v>28</v>
      </c>
      <c r="D29" s="39">
        <f t="shared" si="2"/>
        <v>0</v>
      </c>
      <c r="E29" s="41"/>
      <c r="F29" s="41"/>
      <c r="G29" s="46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3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6" ht="16.5" hidden="1" customHeight="1" x14ac:dyDescent="0.3">
      <c r="A30" s="94"/>
      <c r="B30" s="94"/>
      <c r="C30" s="36" t="s">
        <v>40</v>
      </c>
      <c r="D30" s="39">
        <f t="shared" si="2"/>
        <v>0</v>
      </c>
      <c r="E30" s="41"/>
      <c r="F30" s="41"/>
      <c r="G30" s="46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3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 ht="16.5" hidden="1" customHeight="1" x14ac:dyDescent="0.3">
      <c r="A31" s="94"/>
      <c r="B31" s="94"/>
      <c r="C31" s="36" t="s">
        <v>38</v>
      </c>
      <c r="D31" s="39">
        <f t="shared" si="2"/>
        <v>0</v>
      </c>
      <c r="E31" s="41"/>
      <c r="F31" s="41"/>
      <c r="G31" s="46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3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 ht="16.5" hidden="1" customHeight="1" x14ac:dyDescent="0.3">
      <c r="A32" s="94"/>
      <c r="B32" s="94"/>
      <c r="C32" s="36" t="s">
        <v>12</v>
      </c>
      <c r="D32" s="39">
        <f t="shared" si="2"/>
        <v>0</v>
      </c>
      <c r="E32" s="41"/>
      <c r="F32" s="41"/>
      <c r="G32" s="46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3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ht="16.5" hidden="1" customHeight="1" x14ac:dyDescent="0.3">
      <c r="A33" s="94"/>
      <c r="B33" s="94"/>
      <c r="C33" s="36" t="s">
        <v>44</v>
      </c>
      <c r="D33" s="39">
        <f t="shared" si="2"/>
        <v>0</v>
      </c>
      <c r="E33" s="41"/>
      <c r="F33" s="41"/>
      <c r="G33" s="46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3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ht="16.5" hidden="1" customHeight="1" x14ac:dyDescent="0.3">
      <c r="A34" s="94"/>
      <c r="B34" s="95"/>
      <c r="C34" s="36" t="s">
        <v>21</v>
      </c>
      <c r="D34" s="39">
        <f t="shared" si="2"/>
        <v>0</v>
      </c>
      <c r="E34" s="41"/>
      <c r="F34" s="41"/>
      <c r="G34" s="46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3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ht="16.5" hidden="1" customHeight="1" x14ac:dyDescent="0.3">
      <c r="A35" s="94"/>
      <c r="B35" s="93" t="s">
        <v>13</v>
      </c>
      <c r="C35" s="36" t="s">
        <v>50</v>
      </c>
      <c r="D35" s="39">
        <f t="shared" si="2"/>
        <v>0</v>
      </c>
      <c r="E35" s="41"/>
      <c r="F35" s="41"/>
      <c r="G35" s="46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3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 ht="16.5" hidden="1" customHeight="1" x14ac:dyDescent="0.3">
      <c r="A36" s="94"/>
      <c r="B36" s="94"/>
      <c r="C36" s="36" t="s">
        <v>37</v>
      </c>
      <c r="D36" s="39">
        <f t="shared" si="2"/>
        <v>0</v>
      </c>
      <c r="E36" s="41"/>
      <c r="F36" s="41"/>
      <c r="G36" s="46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3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 ht="16.5" hidden="1" customHeight="1" x14ac:dyDescent="0.3">
      <c r="A37" s="94"/>
      <c r="B37" s="94"/>
      <c r="C37" s="36" t="s">
        <v>17</v>
      </c>
      <c r="D37" s="39">
        <f t="shared" si="2"/>
        <v>0</v>
      </c>
      <c r="E37" s="41"/>
      <c r="F37" s="41"/>
      <c r="G37" s="46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3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</row>
    <row r="38" spans="1:36" ht="16.5" hidden="1" customHeight="1" x14ac:dyDescent="0.3">
      <c r="A38" s="94"/>
      <c r="B38" s="94"/>
      <c r="C38" s="36" t="s">
        <v>34</v>
      </c>
      <c r="D38" s="39">
        <f t="shared" si="2"/>
        <v>0</v>
      </c>
      <c r="E38" s="41"/>
      <c r="F38" s="41"/>
      <c r="G38" s="46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3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</row>
    <row r="39" spans="1:36" ht="16.5" hidden="1" customHeight="1" x14ac:dyDescent="0.3">
      <c r="A39" s="94"/>
      <c r="B39" s="95"/>
      <c r="C39" s="36" t="s">
        <v>11</v>
      </c>
      <c r="D39" s="39">
        <f t="shared" si="2"/>
        <v>0</v>
      </c>
      <c r="E39" s="41"/>
      <c r="F39" s="41"/>
      <c r="G39" s="46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3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</row>
    <row r="40" spans="1:36" ht="16.5" hidden="1" customHeight="1" x14ac:dyDescent="0.3">
      <c r="A40" s="94"/>
      <c r="B40" s="93" t="s">
        <v>9</v>
      </c>
      <c r="C40" s="36" t="s">
        <v>42</v>
      </c>
      <c r="D40" s="39">
        <f t="shared" si="2"/>
        <v>0</v>
      </c>
      <c r="E40" s="41"/>
      <c r="F40" s="41"/>
      <c r="G40" s="46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3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</row>
    <row r="41" spans="1:36" ht="16.5" hidden="1" customHeight="1" x14ac:dyDescent="0.3">
      <c r="A41" s="94"/>
      <c r="B41" s="94"/>
      <c r="C41" s="36" t="s">
        <v>49</v>
      </c>
      <c r="D41" s="39">
        <f t="shared" si="2"/>
        <v>0</v>
      </c>
      <c r="E41" s="41"/>
      <c r="F41" s="41"/>
      <c r="G41" s="46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3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</row>
    <row r="42" spans="1:36" ht="16.5" hidden="1" customHeight="1" x14ac:dyDescent="0.3">
      <c r="A42" s="94"/>
      <c r="B42" s="94"/>
      <c r="C42" s="36" t="s">
        <v>46</v>
      </c>
      <c r="D42" s="39">
        <f t="shared" si="2"/>
        <v>0</v>
      </c>
      <c r="E42" s="41"/>
      <c r="F42" s="41"/>
      <c r="G42" s="46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3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</row>
    <row r="43" spans="1:36" ht="16.5" hidden="1" customHeight="1" x14ac:dyDescent="0.3">
      <c r="A43" s="94"/>
      <c r="B43" s="94"/>
      <c r="C43" s="36" t="s">
        <v>52</v>
      </c>
      <c r="D43" s="39">
        <f t="shared" si="2"/>
        <v>0</v>
      </c>
      <c r="E43" s="41"/>
      <c r="F43" s="41"/>
      <c r="G43" s="46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3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</row>
    <row r="44" spans="1:36" ht="16.5" hidden="1" customHeight="1" x14ac:dyDescent="0.3">
      <c r="A44" s="94"/>
      <c r="B44" s="94"/>
      <c r="C44" s="36" t="s">
        <v>43</v>
      </c>
      <c r="D44" s="39">
        <f t="shared" si="2"/>
        <v>0</v>
      </c>
      <c r="E44" s="41"/>
      <c r="F44" s="41"/>
      <c r="G44" s="46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3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</row>
    <row r="45" spans="1:36" ht="16.5" hidden="1" customHeight="1" x14ac:dyDescent="0.3">
      <c r="A45" s="94"/>
      <c r="B45" s="95"/>
      <c r="C45" s="36" t="s">
        <v>30</v>
      </c>
      <c r="D45" s="39">
        <f t="shared" si="2"/>
        <v>0</v>
      </c>
      <c r="E45" s="41"/>
      <c r="F45" s="41"/>
      <c r="G45" s="46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3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</row>
    <row r="46" spans="1:36" x14ac:dyDescent="0.3">
      <c r="A46" s="94"/>
      <c r="B46" s="93" t="s">
        <v>7</v>
      </c>
      <c r="C46" s="47" t="s">
        <v>33</v>
      </c>
      <c r="D46" s="39">
        <f>SUM(E46:AH46)</f>
        <v>0</v>
      </c>
      <c r="E46" s="41"/>
      <c r="F46" s="41"/>
      <c r="G46" s="63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x14ac:dyDescent="0.3">
      <c r="A47" s="95"/>
      <c r="B47" s="95"/>
      <c r="C47" s="47" t="s">
        <v>15</v>
      </c>
      <c r="D47" s="39">
        <f>SUM(E47:AH47)</f>
        <v>53423</v>
      </c>
      <c r="E47" s="41">
        <v>2806</v>
      </c>
      <c r="F47" s="41">
        <v>1550</v>
      </c>
      <c r="G47" s="41">
        <v>2580</v>
      </c>
      <c r="H47" s="41">
        <v>2710</v>
      </c>
      <c r="I47" s="41">
        <v>2806</v>
      </c>
      <c r="J47" s="41">
        <v>1600</v>
      </c>
      <c r="K47" s="41">
        <v>1750</v>
      </c>
      <c r="L47" s="41">
        <v>1750</v>
      </c>
      <c r="M47" s="41">
        <v>1176</v>
      </c>
      <c r="N47" s="41">
        <v>1400</v>
      </c>
      <c r="O47" s="41">
        <v>1060</v>
      </c>
      <c r="P47" s="41">
        <v>1900</v>
      </c>
      <c r="Q47" s="41">
        <v>1176</v>
      </c>
      <c r="R47" s="43">
        <v>1300</v>
      </c>
      <c r="S47" s="59">
        <v>1630</v>
      </c>
      <c r="T47" s="61">
        <v>1400</v>
      </c>
      <c r="U47" s="60">
        <v>1201</v>
      </c>
      <c r="V47" s="60">
        <v>1900</v>
      </c>
      <c r="W47" s="60">
        <v>2870</v>
      </c>
      <c r="X47" s="60">
        <v>2590</v>
      </c>
      <c r="Y47" s="61">
        <v>1176</v>
      </c>
      <c r="Z47" s="60">
        <v>800</v>
      </c>
      <c r="AA47" s="60">
        <v>2120</v>
      </c>
      <c r="AB47" s="60">
        <v>1690</v>
      </c>
      <c r="AC47" s="60">
        <v>1176</v>
      </c>
      <c r="AD47" s="60">
        <v>2000</v>
      </c>
      <c r="AE47" s="60">
        <v>2650</v>
      </c>
      <c r="AF47" s="60">
        <v>1780</v>
      </c>
      <c r="AG47" s="60">
        <v>1176</v>
      </c>
      <c r="AH47" s="60">
        <v>1700</v>
      </c>
      <c r="AI47" s="60"/>
      <c r="AJ47" s="60"/>
    </row>
    <row r="48" spans="1:36" ht="16.5" customHeight="1" x14ac:dyDescent="0.3">
      <c r="A48" s="88" t="s">
        <v>4</v>
      </c>
      <c r="B48" s="89"/>
      <c r="C48" s="90"/>
      <c r="D48" s="39">
        <f>SUM(E48:AH48)</f>
        <v>53423</v>
      </c>
      <c r="E48" s="49">
        <v>2806</v>
      </c>
      <c r="F48" s="49">
        <v>1550</v>
      </c>
      <c r="G48" s="49">
        <v>2580</v>
      </c>
      <c r="H48" s="49">
        <v>2710</v>
      </c>
      <c r="I48" s="49">
        <v>2806</v>
      </c>
      <c r="J48" s="49">
        <v>1600</v>
      </c>
      <c r="K48" s="49">
        <v>1750</v>
      </c>
      <c r="L48" s="49">
        <v>1750</v>
      </c>
      <c r="M48" s="49">
        <v>1176</v>
      </c>
      <c r="N48" s="49">
        <v>1400</v>
      </c>
      <c r="O48" s="49">
        <v>1060</v>
      </c>
      <c r="P48" s="49">
        <v>1900</v>
      </c>
      <c r="Q48" s="49">
        <v>1176</v>
      </c>
      <c r="R48" s="49">
        <v>1300</v>
      </c>
      <c r="S48" s="64">
        <f t="shared" ref="S48:AI48" si="3">SUM(S46:S47)</f>
        <v>1630</v>
      </c>
      <c r="T48" s="64">
        <f t="shared" si="3"/>
        <v>1400</v>
      </c>
      <c r="U48" s="64">
        <f t="shared" si="3"/>
        <v>1201</v>
      </c>
      <c r="V48" s="64">
        <f t="shared" si="3"/>
        <v>1900</v>
      </c>
      <c r="W48" s="64">
        <f t="shared" si="3"/>
        <v>2870</v>
      </c>
      <c r="X48" s="64">
        <f t="shared" si="3"/>
        <v>2590</v>
      </c>
      <c r="Y48" s="64">
        <f t="shared" si="3"/>
        <v>1176</v>
      </c>
      <c r="Z48" s="64">
        <f t="shared" si="3"/>
        <v>800</v>
      </c>
      <c r="AA48" s="64">
        <f t="shared" si="3"/>
        <v>2120</v>
      </c>
      <c r="AB48" s="64">
        <f t="shared" si="3"/>
        <v>1690</v>
      </c>
      <c r="AC48" s="64">
        <f t="shared" si="3"/>
        <v>1176</v>
      </c>
      <c r="AD48" s="64">
        <f t="shared" si="3"/>
        <v>2000</v>
      </c>
      <c r="AE48" s="64">
        <f t="shared" si="3"/>
        <v>2650</v>
      </c>
      <c r="AF48" s="64">
        <f t="shared" si="3"/>
        <v>1780</v>
      </c>
      <c r="AG48" s="64">
        <f t="shared" si="3"/>
        <v>1176</v>
      </c>
      <c r="AH48" s="64">
        <f t="shared" si="3"/>
        <v>1700</v>
      </c>
      <c r="AI48" s="64">
        <f t="shared" si="3"/>
        <v>0</v>
      </c>
      <c r="AJ48" s="64"/>
    </row>
    <row r="49" spans="1:36" ht="16.5" customHeight="1" x14ac:dyDescent="0.3">
      <c r="A49" s="100" t="s">
        <v>5</v>
      </c>
      <c r="B49" s="101"/>
      <c r="C49" s="102"/>
      <c r="D49" s="51">
        <f>D23+D48</f>
        <v>363098</v>
      </c>
      <c r="E49" s="65">
        <f t="shared" ref="E49:AI49" si="4">SUM(E23,E48)</f>
        <v>15327</v>
      </c>
      <c r="F49" s="65">
        <f t="shared" si="4"/>
        <v>8430</v>
      </c>
      <c r="G49" s="65">
        <f t="shared" si="4"/>
        <v>14090</v>
      </c>
      <c r="H49" s="65">
        <f t="shared" si="4"/>
        <v>21027</v>
      </c>
      <c r="I49" s="65">
        <f t="shared" si="4"/>
        <v>20167</v>
      </c>
      <c r="J49" s="65">
        <f t="shared" si="4"/>
        <v>11760</v>
      </c>
      <c r="K49" s="65">
        <f t="shared" si="4"/>
        <v>7463</v>
      </c>
      <c r="L49" s="65">
        <f t="shared" si="4"/>
        <v>12774</v>
      </c>
      <c r="M49" s="65">
        <f t="shared" si="4"/>
        <v>8417</v>
      </c>
      <c r="N49" s="65">
        <f t="shared" si="4"/>
        <v>10360</v>
      </c>
      <c r="O49" s="65">
        <f t="shared" si="4"/>
        <v>5433</v>
      </c>
      <c r="P49" s="65">
        <f t="shared" si="4"/>
        <v>11971</v>
      </c>
      <c r="Q49" s="65">
        <f t="shared" si="4"/>
        <v>10870</v>
      </c>
      <c r="R49" s="65">
        <f t="shared" si="4"/>
        <v>9980</v>
      </c>
      <c r="S49" s="65">
        <f t="shared" si="4"/>
        <v>10496</v>
      </c>
      <c r="T49" s="65">
        <f t="shared" si="4"/>
        <v>10275</v>
      </c>
      <c r="U49" s="65">
        <f t="shared" si="4"/>
        <v>10140</v>
      </c>
      <c r="V49" s="65">
        <f t="shared" si="4"/>
        <v>11640</v>
      </c>
      <c r="W49" s="65">
        <f t="shared" si="4"/>
        <v>15697</v>
      </c>
      <c r="X49" s="65">
        <f t="shared" si="4"/>
        <v>16025</v>
      </c>
      <c r="Y49" s="65">
        <f t="shared" si="4"/>
        <v>9790</v>
      </c>
      <c r="Z49" s="65">
        <f t="shared" si="4"/>
        <v>7490</v>
      </c>
      <c r="AA49" s="65">
        <f t="shared" si="4"/>
        <v>13907</v>
      </c>
      <c r="AB49" s="65">
        <f t="shared" si="4"/>
        <v>12923</v>
      </c>
      <c r="AC49" s="65">
        <f t="shared" si="4"/>
        <v>9590</v>
      </c>
      <c r="AD49" s="65">
        <f t="shared" si="4"/>
        <v>11880</v>
      </c>
      <c r="AE49" s="65">
        <f t="shared" si="4"/>
        <v>15854</v>
      </c>
      <c r="AF49" s="65">
        <f t="shared" si="4"/>
        <v>13622</v>
      </c>
      <c r="AG49" s="65">
        <f t="shared" si="4"/>
        <v>11070</v>
      </c>
      <c r="AH49" s="65">
        <f t="shared" si="4"/>
        <v>14630</v>
      </c>
      <c r="AI49" s="65">
        <f t="shared" si="4"/>
        <v>0</v>
      </c>
      <c r="AJ49" s="65"/>
    </row>
    <row r="50" spans="1:36" x14ac:dyDescent="0.3">
      <c r="E50" s="58" t="s">
        <v>96</v>
      </c>
    </row>
    <row r="51" spans="1:36" x14ac:dyDescent="0.3">
      <c r="D51" s="66" t="s">
        <v>96</v>
      </c>
    </row>
    <row r="52" spans="1:36" x14ac:dyDescent="0.3">
      <c r="D52" s="67" t="s">
        <v>96</v>
      </c>
    </row>
  </sheetData>
  <mergeCells count="31">
    <mergeCell ref="D1:O2"/>
    <mergeCell ref="A3:C3"/>
    <mergeCell ref="D3:D4"/>
    <mergeCell ref="A4:C4"/>
    <mergeCell ref="A5:A22"/>
    <mergeCell ref="B5:C5"/>
    <mergeCell ref="B6:C6"/>
    <mergeCell ref="B7:C7"/>
    <mergeCell ref="B8:C8"/>
    <mergeCell ref="B9:C9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A48:C48"/>
    <mergeCell ref="A49:C49"/>
    <mergeCell ref="B22:C22"/>
    <mergeCell ref="A23:C23"/>
    <mergeCell ref="A24:A47"/>
    <mergeCell ref="B24:B34"/>
    <mergeCell ref="B35:B39"/>
    <mergeCell ref="B40:B45"/>
    <mergeCell ref="B46:B47"/>
  </mergeCells>
  <phoneticPr fontId="22" type="noConversion"/>
  <pageMargins left="0.75" right="0.75" top="1" bottom="1" header="0.5" footer="0.5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Banpo</dc:creator>
  <cp:lastModifiedBy>user</cp:lastModifiedBy>
  <cp:revision>107</cp:revision>
  <cp:lastPrinted>2013-07-11T08:11:14Z</cp:lastPrinted>
  <dcterms:created xsi:type="dcterms:W3CDTF">2012-12-05T04:10:20Z</dcterms:created>
  <dcterms:modified xsi:type="dcterms:W3CDTF">2022-07-18T05:08:23Z</dcterms:modified>
</cp:coreProperties>
</file>