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1년\"/>
    </mc:Choice>
  </mc:AlternateContent>
  <bookViews>
    <workbookView xWindow="0" yWindow="480" windowWidth="18765" windowHeight="10815" tabRatio="736" firstSheet="1" activeTab="11"/>
  </bookViews>
  <sheets>
    <sheet name="이용객(1월)" sheetId="24" r:id="rId1"/>
    <sheet name="이용객(2월)" sheetId="25" r:id="rId2"/>
    <sheet name="이용객(3월)" sheetId="26" r:id="rId3"/>
    <sheet name="이용객(4월)" sheetId="27" r:id="rId4"/>
    <sheet name="이용객(5월)" sheetId="28" r:id="rId5"/>
    <sheet name="이용객(6월)" sheetId="29" r:id="rId6"/>
    <sheet name="이용객(7월)" sheetId="30" r:id="rId7"/>
    <sheet name="이용객(8월)" sheetId="31" r:id="rId8"/>
    <sheet name="이용객(9월)" sheetId="32" r:id="rId9"/>
    <sheet name="이용객(10월)" sheetId="33" r:id="rId10"/>
    <sheet name="이용객(11월)" sheetId="34" r:id="rId11"/>
    <sheet name="이용객(12월)" sheetId="35" r:id="rId12"/>
  </sheets>
  <calcPr calcId="152511"/>
</workbook>
</file>

<file path=xl/calcChain.xml><?xml version="1.0" encoding="utf-8"?>
<calcChain xmlns="http://schemas.openxmlformats.org/spreadsheetml/2006/main">
  <c r="Q29" i="35" l="1"/>
  <c r="AN28" i="35"/>
  <c r="AM28" i="35"/>
  <c r="AL28" i="35"/>
  <c r="AJ28" i="35"/>
  <c r="AI28" i="35"/>
  <c r="AH28" i="35"/>
  <c r="AG28" i="35"/>
  <c r="AF28" i="35"/>
  <c r="AE28" i="35"/>
  <c r="AE29" i="35" s="1"/>
  <c r="AD28" i="35"/>
  <c r="AB28" i="35"/>
  <c r="AA28" i="35"/>
  <c r="Z28" i="35"/>
  <c r="Y28" i="35"/>
  <c r="X28" i="35"/>
  <c r="W28" i="35"/>
  <c r="V28" i="35"/>
  <c r="V29" i="35" s="1"/>
  <c r="U28" i="35"/>
  <c r="T28" i="35"/>
  <c r="S28" i="35"/>
  <c r="S29" i="35" s="1"/>
  <c r="R28" i="35"/>
  <c r="Q28" i="35"/>
  <c r="P28" i="35"/>
  <c r="O28" i="35"/>
  <c r="N28" i="35"/>
  <c r="J28" i="35"/>
  <c r="G28" i="35"/>
  <c r="F28" i="35"/>
  <c r="AK27" i="35"/>
  <c r="AC27" i="35"/>
  <c r="V27" i="35"/>
  <c r="U27" i="35"/>
  <c r="T27" i="35"/>
  <c r="M27" i="35"/>
  <c r="L27" i="35"/>
  <c r="L28" i="35" s="1"/>
  <c r="K27" i="35"/>
  <c r="K28" i="35" s="1"/>
  <c r="I27" i="35"/>
  <c r="I28" i="35" s="1"/>
  <c r="H27" i="35"/>
  <c r="H28" i="35" s="1"/>
  <c r="G27" i="35"/>
  <c r="F27" i="35"/>
  <c r="E27" i="35" s="1"/>
  <c r="AK26" i="35"/>
  <c r="AK28" i="35" s="1"/>
  <c r="AC26" i="35"/>
  <c r="AC28" i="35" s="1"/>
  <c r="U26" i="35"/>
  <c r="M26" i="35"/>
  <c r="M28" i="35" s="1"/>
  <c r="E26" i="35"/>
  <c r="E28" i="35" s="1"/>
  <c r="D26" i="35"/>
  <c r="AN25" i="35"/>
  <c r="AN29" i="35" s="1"/>
  <c r="AM25" i="35"/>
  <c r="AM29" i="35" s="1"/>
  <c r="AL25" i="35"/>
  <c r="AL29" i="35" s="1"/>
  <c r="AJ25" i="35"/>
  <c r="AJ29" i="35" s="1"/>
  <c r="AI25" i="35"/>
  <c r="AI29" i="35" s="1"/>
  <c r="AH25" i="35"/>
  <c r="AH29" i="35" s="1"/>
  <c r="AG25" i="35"/>
  <c r="AG29" i="35" s="1"/>
  <c r="AF25" i="35"/>
  <c r="AF29" i="35" s="1"/>
  <c r="AE25" i="35"/>
  <c r="AD25" i="35"/>
  <c r="AD29" i="35" s="1"/>
  <c r="AB25" i="35"/>
  <c r="AB29" i="35" s="1"/>
  <c r="AA25" i="35"/>
  <c r="AA29" i="35" s="1"/>
  <c r="Z25" i="35"/>
  <c r="Z29" i="35" s="1"/>
  <c r="Y25" i="35"/>
  <c r="Y29" i="35" s="1"/>
  <c r="X25" i="35"/>
  <c r="X29" i="35" s="1"/>
  <c r="W25" i="35"/>
  <c r="W29" i="35" s="1"/>
  <c r="V25" i="35"/>
  <c r="T25" i="35"/>
  <c r="T29" i="35" s="1"/>
  <c r="S25" i="35"/>
  <c r="R25" i="35"/>
  <c r="R29" i="35" s="1"/>
  <c r="Q25" i="35"/>
  <c r="P25" i="35"/>
  <c r="P29" i="35" s="1"/>
  <c r="O25" i="35"/>
  <c r="O29" i="35" s="1"/>
  <c r="AK24" i="35"/>
  <c r="D24" i="35" s="1"/>
  <c r="AC24" i="35"/>
  <c r="U24" i="35"/>
  <c r="M24" i="35"/>
  <c r="E24" i="35"/>
  <c r="AK23" i="35"/>
  <c r="AC23" i="35"/>
  <c r="U23" i="35"/>
  <c r="M23" i="35"/>
  <c r="F23" i="35"/>
  <c r="E23" i="35" s="1"/>
  <c r="D23" i="35" s="1"/>
  <c r="AK22" i="35"/>
  <c r="AC22" i="35"/>
  <c r="U22" i="35"/>
  <c r="M22" i="35"/>
  <c r="K22" i="35"/>
  <c r="F22" i="35"/>
  <c r="E22" i="35"/>
  <c r="D22" i="35"/>
  <c r="AK21" i="35"/>
  <c r="AC21" i="35"/>
  <c r="U21" i="35"/>
  <c r="M21" i="35"/>
  <c r="D21" i="35" s="1"/>
  <c r="L21" i="35"/>
  <c r="K21" i="35"/>
  <c r="E21" i="35"/>
  <c r="AK20" i="35"/>
  <c r="AC20" i="35"/>
  <c r="U20" i="35"/>
  <c r="M20" i="35"/>
  <c r="E20" i="35"/>
  <c r="D20" i="35"/>
  <c r="AK19" i="35"/>
  <c r="AC19" i="35"/>
  <c r="U19" i="35"/>
  <c r="Q19" i="35"/>
  <c r="N19" i="35"/>
  <c r="N25" i="35" s="1"/>
  <c r="N29" i="35" s="1"/>
  <c r="M19" i="35"/>
  <c r="L19" i="35"/>
  <c r="L25" i="35" s="1"/>
  <c r="L29" i="35" s="1"/>
  <c r="K19" i="35"/>
  <c r="I19" i="35"/>
  <c r="H19" i="35"/>
  <c r="H25" i="35" s="1"/>
  <c r="H29" i="35" s="1"/>
  <c r="G19" i="35"/>
  <c r="G25" i="35" s="1"/>
  <c r="G29" i="35" s="1"/>
  <c r="F19" i="35"/>
  <c r="F25" i="35" s="1"/>
  <c r="F29" i="35" s="1"/>
  <c r="AK18" i="35"/>
  <c r="AC18" i="35"/>
  <c r="U18" i="35"/>
  <c r="M18" i="35"/>
  <c r="E18" i="35"/>
  <c r="D18" i="35"/>
  <c r="AK17" i="35"/>
  <c r="AC17" i="35"/>
  <c r="U17" i="35"/>
  <c r="M17" i="35"/>
  <c r="E17" i="35"/>
  <c r="D17" i="35"/>
  <c r="AK16" i="35"/>
  <c r="AC16" i="35"/>
  <c r="U16" i="35"/>
  <c r="M16" i="35"/>
  <c r="E16" i="35"/>
  <c r="D16" i="35"/>
  <c r="AK15" i="35"/>
  <c r="AC15" i="35"/>
  <c r="U15" i="35"/>
  <c r="M15" i="35"/>
  <c r="E15" i="35"/>
  <c r="D15" i="35"/>
  <c r="AK14" i="35"/>
  <c r="AC14" i="35"/>
  <c r="U14" i="35"/>
  <c r="M14" i="35"/>
  <c r="E14" i="35"/>
  <c r="D14" i="35"/>
  <c r="AK13" i="35"/>
  <c r="AC13" i="35"/>
  <c r="U13" i="35"/>
  <c r="M13" i="35"/>
  <c r="E13" i="35"/>
  <c r="D13" i="35"/>
  <c r="AK12" i="35"/>
  <c r="AC12" i="35"/>
  <c r="U12" i="35"/>
  <c r="M12" i="35"/>
  <c r="E12" i="35"/>
  <c r="D12" i="35"/>
  <c r="AK11" i="35"/>
  <c r="AC11" i="35"/>
  <c r="U11" i="35"/>
  <c r="M11" i="35"/>
  <c r="E11" i="35"/>
  <c r="D11" i="35"/>
  <c r="AK10" i="35"/>
  <c r="AC10" i="35"/>
  <c r="U10" i="35"/>
  <c r="M10" i="35"/>
  <c r="E10" i="35"/>
  <c r="D10" i="35"/>
  <c r="AK9" i="35"/>
  <c r="AC9" i="35"/>
  <c r="U9" i="35"/>
  <c r="M9" i="35"/>
  <c r="K9" i="35"/>
  <c r="K25" i="35" s="1"/>
  <c r="K29" i="35" s="1"/>
  <c r="J9" i="35"/>
  <c r="E9" i="35" s="1"/>
  <c r="I9" i="35"/>
  <c r="I25" i="35" s="1"/>
  <c r="I29" i="35" s="1"/>
  <c r="G9" i="35"/>
  <c r="AK8" i="35"/>
  <c r="AC8" i="35"/>
  <c r="U8" i="35"/>
  <c r="M8" i="35"/>
  <c r="E8" i="35"/>
  <c r="D8" i="35"/>
  <c r="AK7" i="35"/>
  <c r="AC7" i="35"/>
  <c r="AC25" i="35" s="1"/>
  <c r="U7" i="35"/>
  <c r="M7" i="35"/>
  <c r="E7" i="35"/>
  <c r="AK6" i="35"/>
  <c r="AK25" i="35" s="1"/>
  <c r="AK29" i="35" s="1"/>
  <c r="AC6" i="35"/>
  <c r="U6" i="35"/>
  <c r="U25" i="35" s="1"/>
  <c r="U29" i="35" s="1"/>
  <c r="M6" i="35"/>
  <c r="M25" i="35" s="1"/>
  <c r="M29" i="35" s="1"/>
  <c r="E6" i="35"/>
  <c r="D6" i="35"/>
  <c r="D9" i="35" l="1"/>
  <c r="AC29" i="35"/>
  <c r="D28" i="35"/>
  <c r="E19" i="35"/>
  <c r="D19" i="35" s="1"/>
  <c r="J25" i="35"/>
  <c r="J29" i="35" s="1"/>
  <c r="D29" i="35" s="1"/>
  <c r="D7" i="35"/>
  <c r="D25" i="35" s="1"/>
  <c r="D27" i="35"/>
  <c r="E25" i="35" l="1"/>
  <c r="E29" i="35" s="1"/>
  <c r="AN28" i="34" l="1"/>
  <c r="AM28" i="34"/>
  <c r="AL28" i="34"/>
  <c r="AJ28" i="34"/>
  <c r="AI28" i="34"/>
  <c r="AH28" i="34"/>
  <c r="AG28" i="34"/>
  <c r="AG29" i="34" s="1"/>
  <c r="AF28" i="34"/>
  <c r="AF29" i="34" s="1"/>
  <c r="AE28" i="34"/>
  <c r="AE29" i="34" s="1"/>
  <c r="AD28" i="34"/>
  <c r="AD29" i="34" s="1"/>
  <c r="AB28" i="34"/>
  <c r="AA28" i="34"/>
  <c r="Z28" i="34"/>
  <c r="Y28" i="34"/>
  <c r="X28" i="34"/>
  <c r="W28" i="34"/>
  <c r="V28" i="34"/>
  <c r="U28" i="34"/>
  <c r="T28" i="34"/>
  <c r="S28" i="34"/>
  <c r="R28" i="34"/>
  <c r="R29" i="34" s="1"/>
  <c r="Q28" i="34"/>
  <c r="O28" i="34"/>
  <c r="N28" i="34"/>
  <c r="K28" i="34"/>
  <c r="H28" i="34"/>
  <c r="G28" i="34"/>
  <c r="G29" i="34" s="1"/>
  <c r="F28" i="34"/>
  <c r="F29" i="34" s="1"/>
  <c r="AK27" i="34"/>
  <c r="AC27" i="34"/>
  <c r="U27" i="34"/>
  <c r="P27" i="34"/>
  <c r="P28" i="34" s="1"/>
  <c r="L27" i="34"/>
  <c r="L28" i="34" s="1"/>
  <c r="J27" i="34"/>
  <c r="J28" i="34" s="1"/>
  <c r="I27" i="34"/>
  <c r="I28" i="34" s="1"/>
  <c r="E27" i="34"/>
  <c r="D27" i="34"/>
  <c r="AK26" i="34"/>
  <c r="AK28" i="34" s="1"/>
  <c r="AC26" i="34"/>
  <c r="AC28" i="34" s="1"/>
  <c r="U26" i="34"/>
  <c r="M26" i="34"/>
  <c r="E26" i="34"/>
  <c r="E28" i="34" s="1"/>
  <c r="D26" i="34"/>
  <c r="D28" i="34" s="1"/>
  <c r="AN25" i="34"/>
  <c r="AN29" i="34" s="1"/>
  <c r="AM25" i="34"/>
  <c r="AM29" i="34" s="1"/>
  <c r="AL25" i="34"/>
  <c r="AL29" i="34" s="1"/>
  <c r="AJ25" i="34"/>
  <c r="AJ29" i="34" s="1"/>
  <c r="AI25" i="34"/>
  <c r="AI29" i="34" s="1"/>
  <c r="AH25" i="34"/>
  <c r="AH29" i="34" s="1"/>
  <c r="AG25" i="34"/>
  <c r="AF25" i="34"/>
  <c r="AE25" i="34"/>
  <c r="AD25" i="34"/>
  <c r="AB25" i="34"/>
  <c r="AB29" i="34" s="1"/>
  <c r="AA25" i="34"/>
  <c r="AA29" i="34" s="1"/>
  <c r="Z25" i="34"/>
  <c r="Z29" i="34" s="1"/>
  <c r="Y25" i="34"/>
  <c r="Y29" i="34" s="1"/>
  <c r="X25" i="34"/>
  <c r="X29" i="34" s="1"/>
  <c r="W25" i="34"/>
  <c r="W29" i="34" s="1"/>
  <c r="V25" i="34"/>
  <c r="V29" i="34" s="1"/>
  <c r="R25" i="34"/>
  <c r="O25" i="34"/>
  <c r="O29" i="34" s="1"/>
  <c r="N25" i="34"/>
  <c r="N29" i="34" s="1"/>
  <c r="L25" i="34"/>
  <c r="K25" i="34"/>
  <c r="K29" i="34" s="1"/>
  <c r="G25" i="34"/>
  <c r="F25" i="34"/>
  <c r="AK24" i="34"/>
  <c r="AC24" i="34"/>
  <c r="U24" i="34"/>
  <c r="M24" i="34"/>
  <c r="E24" i="34"/>
  <c r="D24" i="34"/>
  <c r="AK23" i="34"/>
  <c r="AC23" i="34"/>
  <c r="U23" i="34"/>
  <c r="M23" i="34"/>
  <c r="J23" i="34"/>
  <c r="E23" i="34" s="1"/>
  <c r="D23" i="34"/>
  <c r="AK22" i="34"/>
  <c r="AC22" i="34"/>
  <c r="U22" i="34"/>
  <c r="T22" i="34"/>
  <c r="D22" i="34" s="1"/>
  <c r="Q22" i="34"/>
  <c r="P22" i="34"/>
  <c r="M22" i="34" s="1"/>
  <c r="K22" i="34"/>
  <c r="J22" i="34"/>
  <c r="E22" i="34"/>
  <c r="AK21" i="34"/>
  <c r="AC21" i="34"/>
  <c r="U21" i="34"/>
  <c r="M21" i="34"/>
  <c r="E21" i="34"/>
  <c r="D21" i="34"/>
  <c r="AK20" i="34"/>
  <c r="AC20" i="34"/>
  <c r="U20" i="34"/>
  <c r="M20" i="34"/>
  <c r="E20" i="34"/>
  <c r="D20" i="34"/>
  <c r="AK19" i="34"/>
  <c r="AC19" i="34"/>
  <c r="U19" i="34"/>
  <c r="T19" i="34"/>
  <c r="T25" i="34" s="1"/>
  <c r="T29" i="34" s="1"/>
  <c r="S19" i="34"/>
  <c r="S25" i="34" s="1"/>
  <c r="S29" i="34" s="1"/>
  <c r="Q19" i="34"/>
  <c r="P19" i="34"/>
  <c r="M19" i="34" s="1"/>
  <c r="L19" i="34"/>
  <c r="K19" i="34"/>
  <c r="E19" i="34"/>
  <c r="AK18" i="34"/>
  <c r="AC18" i="34"/>
  <c r="U18" i="34"/>
  <c r="M18" i="34"/>
  <c r="E18" i="34"/>
  <c r="D18" i="34"/>
  <c r="AK17" i="34"/>
  <c r="AC17" i="34"/>
  <c r="U17" i="34"/>
  <c r="M17" i="34"/>
  <c r="E17" i="34"/>
  <c r="D17" i="34"/>
  <c r="AK16" i="34"/>
  <c r="AC16" i="34"/>
  <c r="U16" i="34"/>
  <c r="M16" i="34"/>
  <c r="E16" i="34"/>
  <c r="D16" i="34"/>
  <c r="AK15" i="34"/>
  <c r="AC15" i="34"/>
  <c r="U15" i="34"/>
  <c r="M15" i="34"/>
  <c r="E15" i="34"/>
  <c r="D15" i="34"/>
  <c r="AK14" i="34"/>
  <c r="AC14" i="34"/>
  <c r="U14" i="34"/>
  <c r="M14" i="34"/>
  <c r="E14" i="34"/>
  <c r="D14" i="34"/>
  <c r="AK13" i="34"/>
  <c r="AC13" i="34"/>
  <c r="U13" i="34"/>
  <c r="M13" i="34"/>
  <c r="E13" i="34"/>
  <c r="D13" i="34"/>
  <c r="AK12" i="34"/>
  <c r="AC12" i="34"/>
  <c r="U12" i="34"/>
  <c r="M12" i="34"/>
  <c r="E12" i="34"/>
  <c r="D12" i="34"/>
  <c r="AK11" i="34"/>
  <c r="AC11" i="34"/>
  <c r="U11" i="34"/>
  <c r="M11" i="34"/>
  <c r="E11" i="34"/>
  <c r="D11" i="34"/>
  <c r="AK10" i="34"/>
  <c r="AC10" i="34"/>
  <c r="U10" i="34"/>
  <c r="M10" i="34"/>
  <c r="E10" i="34"/>
  <c r="D10" i="34"/>
  <c r="AK9" i="34"/>
  <c r="AC9" i="34"/>
  <c r="U9" i="34"/>
  <c r="Q9" i="34"/>
  <c r="Q25" i="34" s="1"/>
  <c r="Q29" i="34" s="1"/>
  <c r="M9" i="34"/>
  <c r="L9" i="34"/>
  <c r="J9" i="34"/>
  <c r="J25" i="34" s="1"/>
  <c r="I9" i="34"/>
  <c r="I25" i="34" s="1"/>
  <c r="H9" i="34"/>
  <c r="H25" i="34" s="1"/>
  <c r="H29" i="34" s="1"/>
  <c r="E9" i="34"/>
  <c r="D9" i="34"/>
  <c r="AK8" i="34"/>
  <c r="AC8" i="34"/>
  <c r="U8" i="34"/>
  <c r="M8" i="34"/>
  <c r="E8" i="34"/>
  <c r="D8" i="34"/>
  <c r="AK7" i="34"/>
  <c r="AC7" i="34"/>
  <c r="U7" i="34"/>
  <c r="M7" i="34"/>
  <c r="E7" i="34"/>
  <c r="D7" i="34"/>
  <c r="AK6" i="34"/>
  <c r="AK25" i="34" s="1"/>
  <c r="AK29" i="34" s="1"/>
  <c r="AC6" i="34"/>
  <c r="AC25" i="34" s="1"/>
  <c r="AC29" i="34" s="1"/>
  <c r="U6" i="34"/>
  <c r="U25" i="34" s="1"/>
  <c r="U29" i="34" s="1"/>
  <c r="M6" i="34"/>
  <c r="E6" i="34"/>
  <c r="E25" i="34" s="1"/>
  <c r="E29" i="34" s="1"/>
  <c r="D6" i="34"/>
  <c r="L29" i="34" l="1"/>
  <c r="I29" i="34"/>
  <c r="M25" i="34"/>
  <c r="J29" i="34"/>
  <c r="D19" i="34"/>
  <c r="D25" i="34" s="1"/>
  <c r="D29" i="34" s="1"/>
  <c r="P25" i="34"/>
  <c r="P29" i="34" s="1"/>
  <c r="M27" i="34"/>
  <c r="M28" i="34" s="1"/>
  <c r="M29" i="34" l="1"/>
  <c r="AN28" i="33" l="1"/>
  <c r="AM28" i="33"/>
  <c r="AL28" i="33"/>
  <c r="AJ28" i="33"/>
  <c r="AI28" i="33"/>
  <c r="AH28" i="33"/>
  <c r="AG28" i="33"/>
  <c r="AF28" i="33"/>
  <c r="AE28" i="33"/>
  <c r="AD28" i="33"/>
  <c r="AB28" i="33"/>
  <c r="AA28" i="33"/>
  <c r="Z28" i="33"/>
  <c r="Y28" i="33"/>
  <c r="X28" i="33"/>
  <c r="W28" i="33"/>
  <c r="T28" i="33"/>
  <c r="S28" i="33"/>
  <c r="R28" i="33"/>
  <c r="N28" i="33"/>
  <c r="L28" i="33"/>
  <c r="I28" i="33"/>
  <c r="H28" i="33"/>
  <c r="G28" i="33"/>
  <c r="F28" i="33"/>
  <c r="AK27" i="33"/>
  <c r="AC27" i="33"/>
  <c r="V27" i="33"/>
  <c r="U27" i="33" s="1"/>
  <c r="U28" i="33" s="1"/>
  <c r="T27" i="33"/>
  <c r="S27" i="33"/>
  <c r="R27" i="33"/>
  <c r="Q27" i="33"/>
  <c r="Q28" i="33" s="1"/>
  <c r="P27" i="33"/>
  <c r="P28" i="33" s="1"/>
  <c r="O27" i="33"/>
  <c r="O28" i="33" s="1"/>
  <c r="N27" i="33"/>
  <c r="M27" i="33" s="1"/>
  <c r="M28" i="33" s="1"/>
  <c r="L27" i="33"/>
  <c r="K27" i="33"/>
  <c r="K28" i="33" s="1"/>
  <c r="J27" i="33"/>
  <c r="J28" i="33" s="1"/>
  <c r="I27" i="33"/>
  <c r="H27" i="33"/>
  <c r="G27" i="33"/>
  <c r="F27" i="33"/>
  <c r="E27" i="33"/>
  <c r="AK26" i="33"/>
  <c r="AK28" i="33" s="1"/>
  <c r="AC26" i="33"/>
  <c r="AC28" i="33" s="1"/>
  <c r="U26" i="33"/>
  <c r="M26" i="33"/>
  <c r="E26" i="33"/>
  <c r="E28" i="33" s="1"/>
  <c r="D26" i="33"/>
  <c r="AN25" i="33"/>
  <c r="AN29" i="33" s="1"/>
  <c r="AM25" i="33"/>
  <c r="AM29" i="33" s="1"/>
  <c r="AL25" i="33"/>
  <c r="AL29" i="33" s="1"/>
  <c r="AJ25" i="33"/>
  <c r="AJ29" i="33" s="1"/>
  <c r="AI25" i="33"/>
  <c r="AI29" i="33" s="1"/>
  <c r="AH25" i="33"/>
  <c r="AH29" i="33" s="1"/>
  <c r="AG25" i="33"/>
  <c r="AG29" i="33" s="1"/>
  <c r="AF25" i="33"/>
  <c r="AF29" i="33" s="1"/>
  <c r="AE25" i="33"/>
  <c r="AE29" i="33" s="1"/>
  <c r="AD25" i="33"/>
  <c r="AD29" i="33" s="1"/>
  <c r="AB25" i="33"/>
  <c r="AB29" i="33" s="1"/>
  <c r="AA25" i="33"/>
  <c r="AA29" i="33" s="1"/>
  <c r="Z25" i="33"/>
  <c r="Z29" i="33" s="1"/>
  <c r="Y25" i="33"/>
  <c r="Y29" i="33" s="1"/>
  <c r="X25" i="33"/>
  <c r="X29" i="33" s="1"/>
  <c r="W25" i="33"/>
  <c r="W29" i="33" s="1"/>
  <c r="AK24" i="33"/>
  <c r="AC24" i="33"/>
  <c r="U24" i="33"/>
  <c r="M24" i="33"/>
  <c r="E24" i="33"/>
  <c r="D24" i="33"/>
  <c r="AK23" i="33"/>
  <c r="AC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 s="1"/>
  <c r="AK22" i="33"/>
  <c r="AC22" i="33"/>
  <c r="V22" i="33"/>
  <c r="U22" i="33" s="1"/>
  <c r="T22" i="33"/>
  <c r="S22" i="33"/>
  <c r="R22" i="33"/>
  <c r="Q22" i="33"/>
  <c r="P22" i="33"/>
  <c r="O22" i="33"/>
  <c r="M22" i="33" s="1"/>
  <c r="N22" i="33"/>
  <c r="L22" i="33"/>
  <c r="K22" i="33"/>
  <c r="J22" i="33"/>
  <c r="I22" i="33"/>
  <c r="H22" i="33"/>
  <c r="G22" i="33"/>
  <c r="F22" i="33"/>
  <c r="E22" i="33" s="1"/>
  <c r="AK21" i="33"/>
  <c r="AC21" i="33"/>
  <c r="V21" i="33"/>
  <c r="U21" i="33"/>
  <c r="T21" i="33"/>
  <c r="S21" i="33"/>
  <c r="R21" i="33"/>
  <c r="Q21" i="33"/>
  <c r="P21" i="33"/>
  <c r="O21" i="33"/>
  <c r="N21" i="33"/>
  <c r="M21" i="33" s="1"/>
  <c r="L21" i="33"/>
  <c r="K21" i="33"/>
  <c r="J21" i="33"/>
  <c r="I21" i="33"/>
  <c r="H21" i="33"/>
  <c r="G21" i="33"/>
  <c r="E21" i="33" s="1"/>
  <c r="F21" i="33"/>
  <c r="D21" i="33" s="1"/>
  <c r="AK20" i="33"/>
  <c r="AC20" i="33"/>
  <c r="U20" i="33"/>
  <c r="M20" i="33"/>
  <c r="E20" i="33"/>
  <c r="D20" i="33"/>
  <c r="AK19" i="33"/>
  <c r="AC19" i="33"/>
  <c r="V19" i="33"/>
  <c r="U19" i="33" s="1"/>
  <c r="T19" i="33"/>
  <c r="S19" i="33"/>
  <c r="S25" i="33" s="1"/>
  <c r="S29" i="33" s="1"/>
  <c r="R19" i="33"/>
  <c r="Q19" i="33"/>
  <c r="P19" i="33"/>
  <c r="P25" i="33" s="1"/>
  <c r="P29" i="33" s="1"/>
  <c r="O19" i="33"/>
  <c r="M19" i="33" s="1"/>
  <c r="N19" i="33"/>
  <c r="N25" i="33" s="1"/>
  <c r="N29" i="33" s="1"/>
  <c r="L19" i="33"/>
  <c r="K19" i="33"/>
  <c r="K25" i="33" s="1"/>
  <c r="K29" i="33" s="1"/>
  <c r="J19" i="33"/>
  <c r="E19" i="33" s="1"/>
  <c r="I19" i="33"/>
  <c r="I25" i="33" s="1"/>
  <c r="I29" i="33" s="1"/>
  <c r="H19" i="33"/>
  <c r="G19" i="33"/>
  <c r="F19" i="33"/>
  <c r="D19" i="33" s="1"/>
  <c r="AK18" i="33"/>
  <c r="AC18" i="33"/>
  <c r="U18" i="33"/>
  <c r="M18" i="33"/>
  <c r="E18" i="33"/>
  <c r="D18" i="33"/>
  <c r="AK17" i="33"/>
  <c r="AC17" i="33"/>
  <c r="U17" i="33"/>
  <c r="M17" i="33"/>
  <c r="E17" i="33"/>
  <c r="D17" i="33"/>
  <c r="AK16" i="33"/>
  <c r="AC16" i="33"/>
  <c r="U16" i="33"/>
  <c r="M16" i="33"/>
  <c r="E16" i="33"/>
  <c r="D16" i="33"/>
  <c r="AK15" i="33"/>
  <c r="AC15" i="33"/>
  <c r="U15" i="33"/>
  <c r="M15" i="33"/>
  <c r="E15" i="33"/>
  <c r="D15" i="33"/>
  <c r="AK14" i="33"/>
  <c r="AC14" i="33"/>
  <c r="U14" i="33"/>
  <c r="M14" i="33"/>
  <c r="E14" i="33"/>
  <c r="D14" i="33"/>
  <c r="AK13" i="33"/>
  <c r="AC13" i="33"/>
  <c r="U13" i="33"/>
  <c r="M13" i="33"/>
  <c r="E13" i="33"/>
  <c r="D13" i="33"/>
  <c r="AK12" i="33"/>
  <c r="AC12" i="33"/>
  <c r="U12" i="33"/>
  <c r="M12" i="33"/>
  <c r="E12" i="33"/>
  <c r="D12" i="33"/>
  <c r="AK11" i="33"/>
  <c r="AC11" i="33"/>
  <c r="U11" i="33"/>
  <c r="M11" i="33"/>
  <c r="E11" i="33"/>
  <c r="D11" i="33"/>
  <c r="AK10" i="33"/>
  <c r="AC10" i="33"/>
  <c r="U10" i="33"/>
  <c r="M10" i="33"/>
  <c r="E10" i="33"/>
  <c r="D10" i="33"/>
  <c r="AK9" i="33"/>
  <c r="AC9" i="33"/>
  <c r="V9" i="33"/>
  <c r="U9" i="33"/>
  <c r="T9" i="33"/>
  <c r="R9" i="33"/>
  <c r="R25" i="33" s="1"/>
  <c r="R29" i="33" s="1"/>
  <c r="Q9" i="33"/>
  <c r="Q25" i="33" s="1"/>
  <c r="Q29" i="33" s="1"/>
  <c r="O9" i="33"/>
  <c r="O25" i="33" s="1"/>
  <c r="L9" i="33"/>
  <c r="L25" i="33" s="1"/>
  <c r="L29" i="33" s="1"/>
  <c r="J9" i="33"/>
  <c r="H9" i="33"/>
  <c r="H25" i="33" s="1"/>
  <c r="H29" i="33" s="1"/>
  <c r="G9" i="33"/>
  <c r="G25" i="33" s="1"/>
  <c r="G29" i="33" s="1"/>
  <c r="F9" i="33"/>
  <c r="E9" i="33" s="1"/>
  <c r="AK8" i="33"/>
  <c r="AC8" i="33"/>
  <c r="U8" i="33"/>
  <c r="M8" i="33"/>
  <c r="E8" i="33"/>
  <c r="D8" i="33"/>
  <c r="AK7" i="33"/>
  <c r="AC7" i="33"/>
  <c r="U7" i="33"/>
  <c r="T7" i="33"/>
  <c r="T25" i="33" s="1"/>
  <c r="T29" i="33" s="1"/>
  <c r="M7" i="33"/>
  <c r="E7" i="33"/>
  <c r="D7" i="33"/>
  <c r="AK6" i="33"/>
  <c r="AK25" i="33" s="1"/>
  <c r="AC6" i="33"/>
  <c r="AC25" i="33" s="1"/>
  <c r="U6" i="33"/>
  <c r="M6" i="33"/>
  <c r="E6" i="33"/>
  <c r="D6" i="33"/>
  <c r="O29" i="33" l="1"/>
  <c r="E25" i="33"/>
  <c r="E29" i="33" s="1"/>
  <c r="AC29" i="33"/>
  <c r="U25" i="33"/>
  <c r="U29" i="33" s="1"/>
  <c r="AK29" i="33"/>
  <c r="D27" i="33"/>
  <c r="D28" i="33" s="1"/>
  <c r="D29" i="33" s="1"/>
  <c r="V25" i="33"/>
  <c r="V29" i="33" s="1"/>
  <c r="M9" i="33"/>
  <c r="M25" i="33" s="1"/>
  <c r="M29" i="33" s="1"/>
  <c r="D23" i="33"/>
  <c r="V28" i="33"/>
  <c r="J25" i="33"/>
  <c r="J29" i="33" s="1"/>
  <c r="D22" i="33"/>
  <c r="F25" i="33"/>
  <c r="F29" i="33" s="1"/>
  <c r="D9" i="33"/>
  <c r="D25" i="33" s="1"/>
  <c r="X29" i="32" l="1"/>
  <c r="AN28" i="32"/>
  <c r="AM28" i="32"/>
  <c r="AJ28" i="32"/>
  <c r="AI28" i="32"/>
  <c r="AH28" i="32"/>
  <c r="AG28" i="32"/>
  <c r="AF28" i="32"/>
  <c r="AE28" i="32"/>
  <c r="AE29" i="32" s="1"/>
  <c r="AD28" i="32"/>
  <c r="AA28" i="32"/>
  <c r="Z28" i="32"/>
  <c r="Y28" i="32"/>
  <c r="X28" i="32"/>
  <c r="W28" i="32"/>
  <c r="R28" i="32"/>
  <c r="G28" i="32"/>
  <c r="AL27" i="32"/>
  <c r="AL28" i="32" s="1"/>
  <c r="AK27" i="32"/>
  <c r="AD27" i="32"/>
  <c r="AC27" i="32"/>
  <c r="AB27" i="32"/>
  <c r="AB28" i="32" s="1"/>
  <c r="Y27" i="32"/>
  <c r="V27" i="32"/>
  <c r="V28" i="32" s="1"/>
  <c r="U27" i="32"/>
  <c r="T27" i="32"/>
  <c r="T28" i="32" s="1"/>
  <c r="S27" i="32"/>
  <c r="S28" i="32" s="1"/>
  <c r="R27" i="32"/>
  <c r="Q27" i="32"/>
  <c r="Q28" i="32" s="1"/>
  <c r="P27" i="32"/>
  <c r="P28" i="32" s="1"/>
  <c r="O27" i="32"/>
  <c r="O28" i="32" s="1"/>
  <c r="N27" i="32"/>
  <c r="N28" i="32" s="1"/>
  <c r="L27" i="32"/>
  <c r="L28" i="32" s="1"/>
  <c r="K27" i="32"/>
  <c r="J27" i="32"/>
  <c r="J28" i="32" s="1"/>
  <c r="I27" i="32"/>
  <c r="I28" i="32" s="1"/>
  <c r="H27" i="32"/>
  <c r="H28" i="32" s="1"/>
  <c r="G27" i="32"/>
  <c r="F27" i="32"/>
  <c r="E27" i="32" s="1"/>
  <c r="E28" i="32" s="1"/>
  <c r="AK26" i="32"/>
  <c r="AK28" i="32" s="1"/>
  <c r="AC26" i="32"/>
  <c r="AC28" i="32" s="1"/>
  <c r="U26" i="32"/>
  <c r="U28" i="32" s="1"/>
  <c r="M26" i="32"/>
  <c r="E26" i="32"/>
  <c r="D26" i="32"/>
  <c r="AN25" i="32"/>
  <c r="AN29" i="32" s="1"/>
  <c r="AM25" i="32"/>
  <c r="AM29" i="32" s="1"/>
  <c r="AL25" i="32"/>
  <c r="AL29" i="32" s="1"/>
  <c r="AH25" i="32"/>
  <c r="AH29" i="32" s="1"/>
  <c r="AF25" i="32"/>
  <c r="AF29" i="32" s="1"/>
  <c r="AE25" i="32"/>
  <c r="Y25" i="32"/>
  <c r="Y29" i="32" s="1"/>
  <c r="X25" i="32"/>
  <c r="AK24" i="32"/>
  <c r="AC24" i="32"/>
  <c r="U24" i="32"/>
  <c r="M24" i="32"/>
  <c r="E24" i="32"/>
  <c r="D24" i="32"/>
  <c r="AK23" i="32"/>
  <c r="AC23" i="32"/>
  <c r="V23" i="32"/>
  <c r="U23" i="32"/>
  <c r="T23" i="32"/>
  <c r="S23" i="32"/>
  <c r="R23" i="32"/>
  <c r="Q23" i="32"/>
  <c r="P23" i="32"/>
  <c r="D23" i="32" s="1"/>
  <c r="N23" i="32"/>
  <c r="M23" i="32" s="1"/>
  <c r="L23" i="32"/>
  <c r="K23" i="32"/>
  <c r="J23" i="32"/>
  <c r="I23" i="32"/>
  <c r="H23" i="32"/>
  <c r="G23" i="32"/>
  <c r="F23" i="32"/>
  <c r="E23" i="32"/>
  <c r="AK22" i="32"/>
  <c r="AF22" i="32"/>
  <c r="AC22" i="32"/>
  <c r="W22" i="32"/>
  <c r="U22" i="32" s="1"/>
  <c r="V22" i="32"/>
  <c r="T22" i="32"/>
  <c r="S22" i="32"/>
  <c r="R22" i="32"/>
  <c r="Q22" i="32"/>
  <c r="P22" i="32"/>
  <c r="O22" i="32"/>
  <c r="N22" i="32"/>
  <c r="M22" i="32" s="1"/>
  <c r="L22" i="32"/>
  <c r="K22" i="32"/>
  <c r="E22" i="32" s="1"/>
  <c r="J22" i="32"/>
  <c r="I22" i="32"/>
  <c r="H22" i="32"/>
  <c r="G22" i="32"/>
  <c r="F22" i="32"/>
  <c r="AK21" i="32"/>
  <c r="AJ21" i="32"/>
  <c r="AC21" i="32" s="1"/>
  <c r="AF21" i="32"/>
  <c r="V21" i="32"/>
  <c r="U21" i="32" s="1"/>
  <c r="T21" i="32"/>
  <c r="T25" i="32" s="1"/>
  <c r="T29" i="32" s="1"/>
  <c r="S21" i="32"/>
  <c r="R21" i="32"/>
  <c r="Q21" i="32"/>
  <c r="Q25" i="32" s="1"/>
  <c r="P21" i="32"/>
  <c r="O21" i="32"/>
  <c r="N21" i="32"/>
  <c r="M21" i="32"/>
  <c r="L21" i="32"/>
  <c r="I21" i="32"/>
  <c r="H21" i="32"/>
  <c r="H25" i="32" s="1"/>
  <c r="H29" i="32" s="1"/>
  <c r="G21" i="32"/>
  <c r="F21" i="32"/>
  <c r="E21" i="32" s="1"/>
  <c r="AK20" i="32"/>
  <c r="AC20" i="32"/>
  <c r="U20" i="32"/>
  <c r="M20" i="32"/>
  <c r="E20" i="32"/>
  <c r="D20" i="32"/>
  <c r="AM19" i="32"/>
  <c r="AK19" i="32"/>
  <c r="AJ19" i="32"/>
  <c r="AJ25" i="32" s="1"/>
  <c r="AJ29" i="32" s="1"/>
  <c r="AI19" i="32"/>
  <c r="AI25" i="32" s="1"/>
  <c r="AI29" i="32" s="1"/>
  <c r="AF19" i="32"/>
  <c r="AD19" i="32"/>
  <c r="AD25" i="32" s="1"/>
  <c r="AD29" i="32" s="1"/>
  <c r="AB19" i="32"/>
  <c r="AB25" i="32" s="1"/>
  <c r="AA19" i="32"/>
  <c r="AA25" i="32" s="1"/>
  <c r="AA29" i="32" s="1"/>
  <c r="V19" i="32"/>
  <c r="V25" i="32" s="1"/>
  <c r="U19" i="32"/>
  <c r="T19" i="32"/>
  <c r="S19" i="32"/>
  <c r="R19" i="32"/>
  <c r="Q19" i="32"/>
  <c r="P19" i="32"/>
  <c r="M19" i="32" s="1"/>
  <c r="O19" i="32"/>
  <c r="N19" i="32"/>
  <c r="L19" i="32"/>
  <c r="L25" i="32" s="1"/>
  <c r="L29" i="32" s="1"/>
  <c r="K19" i="32"/>
  <c r="K25" i="32" s="1"/>
  <c r="K29" i="32" s="1"/>
  <c r="J19" i="32"/>
  <c r="I19" i="32"/>
  <c r="D19" i="32" s="1"/>
  <c r="H19" i="32"/>
  <c r="G19" i="32"/>
  <c r="F19" i="32"/>
  <c r="E19" i="32" s="1"/>
  <c r="AK18" i="32"/>
  <c r="AC18" i="32"/>
  <c r="U18" i="32"/>
  <c r="M18" i="32"/>
  <c r="E18" i="32"/>
  <c r="D18" i="32"/>
  <c r="AK17" i="32"/>
  <c r="AC17" i="32"/>
  <c r="U17" i="32"/>
  <c r="M17" i="32"/>
  <c r="E17" i="32"/>
  <c r="D17" i="32"/>
  <c r="AK16" i="32"/>
  <c r="AC16" i="32"/>
  <c r="U16" i="32"/>
  <c r="M16" i="32"/>
  <c r="E16" i="32"/>
  <c r="D16" i="32"/>
  <c r="AK15" i="32"/>
  <c r="AC15" i="32"/>
  <c r="U15" i="32"/>
  <c r="M15" i="32"/>
  <c r="E15" i="32"/>
  <c r="D15" i="32"/>
  <c r="AK14" i="32"/>
  <c r="AC14" i="32"/>
  <c r="U14" i="32"/>
  <c r="M14" i="32"/>
  <c r="E14" i="32"/>
  <c r="D14" i="32"/>
  <c r="AK13" i="32"/>
  <c r="AC13" i="32"/>
  <c r="U13" i="32"/>
  <c r="M13" i="32"/>
  <c r="E13" i="32"/>
  <c r="D13" i="32"/>
  <c r="AK12" i="32"/>
  <c r="AC12" i="32"/>
  <c r="U12" i="32"/>
  <c r="M12" i="32"/>
  <c r="E12" i="32"/>
  <c r="D12" i="32"/>
  <c r="AK11" i="32"/>
  <c r="AC11" i="32"/>
  <c r="U11" i="32"/>
  <c r="M11" i="32"/>
  <c r="E11" i="32"/>
  <c r="D11" i="32"/>
  <c r="AK10" i="32"/>
  <c r="AC10" i="32"/>
  <c r="U10" i="32"/>
  <c r="M10" i="32"/>
  <c r="E10" i="32"/>
  <c r="D10" i="32"/>
  <c r="AK9" i="32"/>
  <c r="AK25" i="32" s="1"/>
  <c r="AK29" i="32" s="1"/>
  <c r="AG9" i="32"/>
  <c r="AG25" i="32" s="1"/>
  <c r="AG29" i="32" s="1"/>
  <c r="AC9" i="32"/>
  <c r="Z9" i="32"/>
  <c r="Z25" i="32" s="1"/>
  <c r="Z29" i="32" s="1"/>
  <c r="W9" i="32"/>
  <c r="W25" i="32" s="1"/>
  <c r="W29" i="32" s="1"/>
  <c r="U9" i="32"/>
  <c r="T9" i="32"/>
  <c r="S9" i="32"/>
  <c r="S25" i="32" s="1"/>
  <c r="S29" i="32" s="1"/>
  <c r="R9" i="32"/>
  <c r="R25" i="32" s="1"/>
  <c r="R29" i="32" s="1"/>
  <c r="P9" i="32"/>
  <c r="P25" i="32" s="1"/>
  <c r="P29" i="32" s="1"/>
  <c r="O9" i="32"/>
  <c r="O25" i="32" s="1"/>
  <c r="O29" i="32" s="1"/>
  <c r="M9" i="32"/>
  <c r="J9" i="32"/>
  <c r="D9" i="32" s="1"/>
  <c r="F9" i="32"/>
  <c r="F25" i="32" s="1"/>
  <c r="AK8" i="32"/>
  <c r="AC8" i="32"/>
  <c r="U8" i="32"/>
  <c r="M8" i="32"/>
  <c r="J8" i="32"/>
  <c r="J25" i="32" s="1"/>
  <c r="J29" i="32" s="1"/>
  <c r="E8" i="32"/>
  <c r="D8" i="32"/>
  <c r="AK7" i="32"/>
  <c r="AC7" i="32"/>
  <c r="U7" i="32"/>
  <c r="N7" i="32"/>
  <c r="N25" i="32" s="1"/>
  <c r="N29" i="32" s="1"/>
  <c r="M7" i="32"/>
  <c r="J7" i="32"/>
  <c r="I7" i="32"/>
  <c r="I25" i="32" s="1"/>
  <c r="H7" i="32"/>
  <c r="G7" i="32"/>
  <c r="G25" i="32" s="1"/>
  <c r="G29" i="32" s="1"/>
  <c r="AK6" i="32"/>
  <c r="AC6" i="32"/>
  <c r="U6" i="32"/>
  <c r="M6" i="32"/>
  <c r="E6" i="32"/>
  <c r="D6" i="32"/>
  <c r="Q29" i="32" l="1"/>
  <c r="I29" i="32"/>
  <c r="V29" i="32"/>
  <c r="AB29" i="32"/>
  <c r="M25" i="32"/>
  <c r="M29" i="32" s="1"/>
  <c r="D25" i="32"/>
  <c r="U25" i="32"/>
  <c r="U29" i="32" s="1"/>
  <c r="AC25" i="32"/>
  <c r="AC29" i="32" s="1"/>
  <c r="F28" i="32"/>
  <c r="F29" i="32" s="1"/>
  <c r="D22" i="32"/>
  <c r="AC19" i="32"/>
  <c r="E7" i="32"/>
  <c r="D21" i="32"/>
  <c r="D7" i="32"/>
  <c r="M27" i="32"/>
  <c r="M28" i="32" s="1"/>
  <c r="E9" i="32"/>
  <c r="E25" i="32" s="1"/>
  <c r="E29" i="32" s="1"/>
  <c r="D27" i="32"/>
  <c r="D28" i="32" s="1"/>
  <c r="D29" i="32" s="1"/>
  <c r="AN28" i="31" l="1"/>
  <c r="AM28" i="31"/>
  <c r="AL28" i="31"/>
  <c r="AJ28" i="31"/>
  <c r="AI28" i="31"/>
  <c r="AH28" i="31"/>
  <c r="AG28" i="31"/>
  <c r="AF28" i="31"/>
  <c r="AE28" i="31"/>
  <c r="AD28" i="31"/>
  <c r="AD29" i="31" s="1"/>
  <c r="AB28" i="31"/>
  <c r="AA28" i="31"/>
  <c r="Z28" i="31"/>
  <c r="Y28" i="31"/>
  <c r="X28" i="31"/>
  <c r="W28" i="31"/>
  <c r="V28" i="31"/>
  <c r="U28" i="31"/>
  <c r="T28" i="31"/>
  <c r="S28" i="31"/>
  <c r="R28" i="31"/>
  <c r="L28" i="31"/>
  <c r="K28" i="31"/>
  <c r="J28" i="31"/>
  <c r="I28" i="31"/>
  <c r="H28" i="31"/>
  <c r="G28" i="31"/>
  <c r="F28" i="31"/>
  <c r="AK27" i="31"/>
  <c r="AC27" i="31"/>
  <c r="V27" i="31"/>
  <c r="U27" i="31"/>
  <c r="T27" i="31"/>
  <c r="S27" i="31"/>
  <c r="R27" i="31"/>
  <c r="Q27" i="31"/>
  <c r="Q28" i="31" s="1"/>
  <c r="P27" i="31"/>
  <c r="P28" i="31" s="1"/>
  <c r="O27" i="31"/>
  <c r="M27" i="31" s="1"/>
  <c r="D27" i="31" s="1"/>
  <c r="N27" i="31"/>
  <c r="N28" i="31" s="1"/>
  <c r="L27" i="31"/>
  <c r="K27" i="31"/>
  <c r="J27" i="31"/>
  <c r="I27" i="31"/>
  <c r="H27" i="31"/>
  <c r="G27" i="31"/>
  <c r="F27" i="31"/>
  <c r="E27" i="31"/>
  <c r="AK26" i="31"/>
  <c r="AK28" i="31" s="1"/>
  <c r="AC26" i="31"/>
  <c r="AC28" i="31" s="1"/>
  <c r="U26" i="31"/>
  <c r="M26" i="31"/>
  <c r="M28" i="31" s="1"/>
  <c r="E26" i="31"/>
  <c r="E28" i="31" s="1"/>
  <c r="D26" i="31"/>
  <c r="D28" i="31" s="1"/>
  <c r="AL25" i="31"/>
  <c r="AL29" i="31" s="1"/>
  <c r="AJ25" i="31"/>
  <c r="AJ29" i="31" s="1"/>
  <c r="AI25" i="31"/>
  <c r="AI29" i="31" s="1"/>
  <c r="AH25" i="31"/>
  <c r="AH29" i="31" s="1"/>
  <c r="AG25" i="31"/>
  <c r="AG29" i="31" s="1"/>
  <c r="AD25" i="31"/>
  <c r="AB25" i="31"/>
  <c r="AB29" i="31" s="1"/>
  <c r="AA25" i="31"/>
  <c r="AA29" i="31" s="1"/>
  <c r="Y25" i="31"/>
  <c r="Y29" i="31" s="1"/>
  <c r="X25" i="31"/>
  <c r="X29" i="31" s="1"/>
  <c r="W25" i="31"/>
  <c r="W29" i="31" s="1"/>
  <c r="V25" i="31"/>
  <c r="V29" i="31" s="1"/>
  <c r="L25" i="31"/>
  <c r="L29" i="31" s="1"/>
  <c r="K25" i="31"/>
  <c r="K29" i="31" s="1"/>
  <c r="J25" i="31"/>
  <c r="J29" i="31" s="1"/>
  <c r="AK24" i="31"/>
  <c r="AC24" i="31"/>
  <c r="U24" i="31"/>
  <c r="M24" i="31"/>
  <c r="E24" i="31"/>
  <c r="D24" i="31"/>
  <c r="AK23" i="31"/>
  <c r="AC23" i="31"/>
  <c r="V23" i="31"/>
  <c r="U23" i="31"/>
  <c r="N23" i="31"/>
  <c r="M23" i="31"/>
  <c r="L23" i="31"/>
  <c r="I23" i="31"/>
  <c r="H23" i="31"/>
  <c r="F23" i="31"/>
  <c r="E23" i="31"/>
  <c r="D23" i="31"/>
  <c r="AK22" i="31"/>
  <c r="AE22" i="31"/>
  <c r="AC22" i="31" s="1"/>
  <c r="Z22" i="31"/>
  <c r="V22" i="31"/>
  <c r="U22" i="31"/>
  <c r="T22" i="31"/>
  <c r="S22" i="31"/>
  <c r="R22" i="31"/>
  <c r="Q22" i="31"/>
  <c r="P22" i="31"/>
  <c r="N22" i="31"/>
  <c r="M22" i="31" s="1"/>
  <c r="L22" i="31"/>
  <c r="K22" i="31"/>
  <c r="I22" i="31"/>
  <c r="H22" i="31"/>
  <c r="F22" i="31"/>
  <c r="E22" i="31"/>
  <c r="D22" i="31" s="1"/>
  <c r="AK21" i="31"/>
  <c r="AC21" i="31"/>
  <c r="V21" i="31"/>
  <c r="U21" i="31"/>
  <c r="D21" i="31" s="1"/>
  <c r="T21" i="31"/>
  <c r="S21" i="31"/>
  <c r="R21" i="31"/>
  <c r="Q21" i="31"/>
  <c r="O21" i="31"/>
  <c r="N21" i="31"/>
  <c r="M21" i="31"/>
  <c r="L21" i="31"/>
  <c r="F21" i="31"/>
  <c r="E21" i="31"/>
  <c r="AK20" i="31"/>
  <c r="D20" i="31" s="1"/>
  <c r="AC20" i="31"/>
  <c r="U20" i="31"/>
  <c r="M20" i="31"/>
  <c r="E20" i="31"/>
  <c r="AN19" i="31"/>
  <c r="AN25" i="31" s="1"/>
  <c r="AN29" i="31" s="1"/>
  <c r="AM19" i="31"/>
  <c r="AM25" i="31" s="1"/>
  <c r="AM29" i="31" s="1"/>
  <c r="AJ19" i="31"/>
  <c r="AI19" i="31"/>
  <c r="AF19" i="31"/>
  <c r="AF25" i="31" s="1"/>
  <c r="AF29" i="31" s="1"/>
  <c r="AE19" i="31"/>
  <c r="AC19" i="31" s="1"/>
  <c r="Z19" i="31"/>
  <c r="Z25" i="31" s="1"/>
  <c r="Z29" i="31" s="1"/>
  <c r="V19" i="31"/>
  <c r="U19" i="31"/>
  <c r="T19" i="31"/>
  <c r="T25" i="31" s="1"/>
  <c r="T29" i="31" s="1"/>
  <c r="S19" i="31"/>
  <c r="S25" i="31" s="1"/>
  <c r="S29" i="31" s="1"/>
  <c r="R19" i="31"/>
  <c r="Q19" i="31"/>
  <c r="Q25" i="31" s="1"/>
  <c r="P19" i="31"/>
  <c r="P25" i="31" s="1"/>
  <c r="P29" i="31" s="1"/>
  <c r="O19" i="31"/>
  <c r="O25" i="31" s="1"/>
  <c r="N19" i="31"/>
  <c r="N25" i="31" s="1"/>
  <c r="N29" i="31" s="1"/>
  <c r="M19" i="31"/>
  <c r="L19" i="31"/>
  <c r="K19" i="31"/>
  <c r="J19" i="31"/>
  <c r="I19" i="31"/>
  <c r="I25" i="31" s="1"/>
  <c r="I29" i="31" s="1"/>
  <c r="H19" i="31"/>
  <c r="H25" i="31" s="1"/>
  <c r="H29" i="31" s="1"/>
  <c r="G19" i="31"/>
  <c r="G25" i="31" s="1"/>
  <c r="G29" i="31" s="1"/>
  <c r="F19" i="31"/>
  <c r="F25" i="31" s="1"/>
  <c r="F29" i="31" s="1"/>
  <c r="AK18" i="31"/>
  <c r="AC18" i="31"/>
  <c r="U18" i="31"/>
  <c r="M18" i="31"/>
  <c r="D18" i="31" s="1"/>
  <c r="E18" i="31"/>
  <c r="AK17" i="31"/>
  <c r="AC17" i="31"/>
  <c r="U17" i="31"/>
  <c r="M17" i="31"/>
  <c r="D17" i="31" s="1"/>
  <c r="E17" i="31"/>
  <c r="AK16" i="31"/>
  <c r="AC16" i="31"/>
  <c r="U16" i="31"/>
  <c r="D16" i="31" s="1"/>
  <c r="M16" i="31"/>
  <c r="E16" i="31"/>
  <c r="AK15" i="31"/>
  <c r="AC15" i="31"/>
  <c r="U15" i="31"/>
  <c r="M15" i="31"/>
  <c r="D15" i="31" s="1"/>
  <c r="E15" i="31"/>
  <c r="AK14" i="31"/>
  <c r="AC14" i="31"/>
  <c r="U14" i="31"/>
  <c r="D14" i="31" s="1"/>
  <c r="M14" i="31"/>
  <c r="E14" i="31"/>
  <c r="AK13" i="31"/>
  <c r="AC13" i="31"/>
  <c r="U13" i="31"/>
  <c r="M13" i="31"/>
  <c r="D13" i="31" s="1"/>
  <c r="E13" i="31"/>
  <c r="AK12" i="31"/>
  <c r="AC12" i="31"/>
  <c r="U12" i="31"/>
  <c r="D12" i="31" s="1"/>
  <c r="M12" i="31"/>
  <c r="E12" i="31"/>
  <c r="AK11" i="31"/>
  <c r="AC11" i="31"/>
  <c r="U11" i="31"/>
  <c r="M11" i="31"/>
  <c r="D11" i="31" s="1"/>
  <c r="E11" i="31"/>
  <c r="AK10" i="31"/>
  <c r="AC10" i="31"/>
  <c r="U10" i="31"/>
  <c r="D10" i="31" s="1"/>
  <c r="M10" i="31"/>
  <c r="E10" i="31"/>
  <c r="AK9" i="31"/>
  <c r="AC9" i="31"/>
  <c r="U9" i="31"/>
  <c r="R9" i="31"/>
  <c r="R25" i="31" s="1"/>
  <c r="R29" i="31" s="1"/>
  <c r="E9" i="31"/>
  <c r="AK8" i="31"/>
  <c r="AC8" i="31"/>
  <c r="U8" i="31"/>
  <c r="M8" i="31"/>
  <c r="E8" i="31"/>
  <c r="AK7" i="31"/>
  <c r="AC7" i="31"/>
  <c r="U7" i="31"/>
  <c r="M7" i="31"/>
  <c r="E7" i="31"/>
  <c r="D7" i="31"/>
  <c r="AK6" i="31"/>
  <c r="AC6" i="31"/>
  <c r="U6" i="31"/>
  <c r="U25" i="31" s="1"/>
  <c r="U29" i="31" s="1"/>
  <c r="M6" i="31"/>
  <c r="L6" i="31"/>
  <c r="E6" i="31"/>
  <c r="D6" i="31" s="1"/>
  <c r="AC25" i="31" l="1"/>
  <c r="AC29" i="31" s="1"/>
  <c r="Q29" i="31"/>
  <c r="O29" i="31"/>
  <c r="M9" i="31"/>
  <c r="D9" i="31" s="1"/>
  <c r="D25" i="31" s="1"/>
  <c r="D29" i="31" s="1"/>
  <c r="E19" i="31"/>
  <c r="D19" i="31" s="1"/>
  <c r="AK19" i="31"/>
  <c r="AK25" i="31" s="1"/>
  <c r="AK29" i="31" s="1"/>
  <c r="E25" i="31"/>
  <c r="E29" i="31" s="1"/>
  <c r="AE25" i="31"/>
  <c r="AE29" i="31" s="1"/>
  <c r="O28" i="31"/>
  <c r="M25" i="31" l="1"/>
  <c r="M29" i="31" s="1"/>
  <c r="AM28" i="30" l="1"/>
  <c r="AI28" i="30"/>
  <c r="AA28" i="30"/>
  <c r="W28" i="30"/>
  <c r="O28" i="30"/>
  <c r="K28" i="30"/>
  <c r="AN27" i="30"/>
  <c r="AN28" i="30" s="1"/>
  <c r="AM27" i="30"/>
  <c r="AL27" i="30"/>
  <c r="AL28" i="30" s="1"/>
  <c r="AK27" i="30"/>
  <c r="AK28" i="30" s="1"/>
  <c r="AJ27" i="30"/>
  <c r="AJ28" i="30" s="1"/>
  <c r="AI27" i="30"/>
  <c r="AH27" i="30"/>
  <c r="AH28" i="30" s="1"/>
  <c r="AG27" i="30"/>
  <c r="AG28" i="30" s="1"/>
  <c r="AF27" i="30"/>
  <c r="AF28" i="30" s="1"/>
  <c r="AE27" i="30"/>
  <c r="AE28" i="30" s="1"/>
  <c r="AD27" i="30"/>
  <c r="AD28" i="30" s="1"/>
  <c r="AB27" i="30"/>
  <c r="AB28" i="30" s="1"/>
  <c r="AA27" i="30"/>
  <c r="Z27" i="30"/>
  <c r="Z28" i="30" s="1"/>
  <c r="Y27" i="30"/>
  <c r="Y28" i="30" s="1"/>
  <c r="X27" i="30"/>
  <c r="U27" i="30" s="1"/>
  <c r="W27" i="30"/>
  <c r="V27" i="30"/>
  <c r="V28" i="30" s="1"/>
  <c r="T27" i="30"/>
  <c r="T28" i="30" s="1"/>
  <c r="S27" i="30"/>
  <c r="S28" i="30" s="1"/>
  <c r="R27" i="30"/>
  <c r="R28" i="30" s="1"/>
  <c r="Q27" i="30"/>
  <c r="Q28" i="30" s="1"/>
  <c r="P27" i="30"/>
  <c r="P28" i="30" s="1"/>
  <c r="O27" i="30"/>
  <c r="N27" i="30"/>
  <c r="N28" i="30" s="1"/>
  <c r="M27" i="30"/>
  <c r="L27" i="30"/>
  <c r="L28" i="30" s="1"/>
  <c r="K27" i="30"/>
  <c r="J27" i="30"/>
  <c r="J28" i="30" s="1"/>
  <c r="I27" i="30"/>
  <c r="I28" i="30" s="1"/>
  <c r="H27" i="30"/>
  <c r="H28" i="30" s="1"/>
  <c r="G27" i="30"/>
  <c r="G28" i="30" s="1"/>
  <c r="F27" i="30"/>
  <c r="F28" i="30" s="1"/>
  <c r="AK26" i="30"/>
  <c r="AC26" i="30"/>
  <c r="U26" i="30"/>
  <c r="M26" i="30"/>
  <c r="M28" i="30" s="1"/>
  <c r="E26" i="30"/>
  <c r="D26" i="30"/>
  <c r="AE25" i="30"/>
  <c r="AE29" i="30" s="1"/>
  <c r="G25" i="30"/>
  <c r="G29" i="30" s="1"/>
  <c r="AK24" i="30"/>
  <c r="AC24" i="30"/>
  <c r="U24" i="30"/>
  <c r="M24" i="30"/>
  <c r="E24" i="30"/>
  <c r="D24" i="30"/>
  <c r="AN23" i="30"/>
  <c r="AM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V23" i="30"/>
  <c r="U23" i="30" s="1"/>
  <c r="T23" i="30"/>
  <c r="S23" i="30"/>
  <c r="R23" i="30"/>
  <c r="Q23" i="30"/>
  <c r="P23" i="30"/>
  <c r="N23" i="30"/>
  <c r="M23" i="30"/>
  <c r="L23" i="30"/>
  <c r="K23" i="30"/>
  <c r="E23" i="30" s="1"/>
  <c r="H23" i="30"/>
  <c r="G23" i="30"/>
  <c r="F23" i="30"/>
  <c r="AN22" i="30"/>
  <c r="AM22" i="30"/>
  <c r="AL22" i="30"/>
  <c r="AK22" i="30" s="1"/>
  <c r="AJ22" i="30"/>
  <c r="AI22" i="30"/>
  <c r="AH22" i="30"/>
  <c r="AG22" i="30"/>
  <c r="AF22" i="30"/>
  <c r="AE22" i="30"/>
  <c r="AD22" i="30"/>
  <c r="AC22" i="30" s="1"/>
  <c r="AB22" i="30"/>
  <c r="AA22" i="30"/>
  <c r="Z22" i="30"/>
  <c r="Y22" i="30"/>
  <c r="X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H22" i="30"/>
  <c r="D22" i="30" s="1"/>
  <c r="G22" i="30"/>
  <c r="E22" i="30" s="1"/>
  <c r="F22" i="30"/>
  <c r="AN21" i="30"/>
  <c r="AM21" i="30"/>
  <c r="AL21" i="30"/>
  <c r="AK21" i="30"/>
  <c r="AI21" i="30"/>
  <c r="AH21" i="30"/>
  <c r="AG21" i="30"/>
  <c r="AF21" i="30"/>
  <c r="AF25" i="30" s="1"/>
  <c r="AF29" i="30" s="1"/>
  <c r="AE21" i="30"/>
  <c r="AC21" i="30" s="1"/>
  <c r="AD21" i="30"/>
  <c r="AB21" i="30"/>
  <c r="AA21" i="30"/>
  <c r="Z21" i="30"/>
  <c r="Y21" i="30"/>
  <c r="W21" i="30"/>
  <c r="V21" i="30"/>
  <c r="U21" i="30"/>
  <c r="T21" i="30"/>
  <c r="T25" i="30" s="1"/>
  <c r="T29" i="30" s="1"/>
  <c r="S21" i="30"/>
  <c r="M21" i="30" s="1"/>
  <c r="R21" i="30"/>
  <c r="Q21" i="30"/>
  <c r="K21" i="30"/>
  <c r="J21" i="30"/>
  <c r="H21" i="30"/>
  <c r="G21" i="30"/>
  <c r="F21" i="30"/>
  <c r="E21" i="30" s="1"/>
  <c r="AK20" i="30"/>
  <c r="AC20" i="30"/>
  <c r="U20" i="30"/>
  <c r="M20" i="30"/>
  <c r="E20" i="30"/>
  <c r="D20" i="30"/>
  <c r="AN19" i="30"/>
  <c r="AM19" i="30"/>
  <c r="AL19" i="30"/>
  <c r="AL25" i="30" s="1"/>
  <c r="AL29" i="30" s="1"/>
  <c r="AK19" i="30"/>
  <c r="AJ19" i="30"/>
  <c r="AJ25" i="30" s="1"/>
  <c r="AI19" i="30"/>
  <c r="AI25" i="30" s="1"/>
  <c r="AI29" i="30" s="1"/>
  <c r="AH19" i="30"/>
  <c r="AG19" i="30"/>
  <c r="AC19" i="30" s="1"/>
  <c r="AF19" i="30"/>
  <c r="AE19" i="30"/>
  <c r="AD19" i="30"/>
  <c r="AD25" i="30" s="1"/>
  <c r="AD29" i="30" s="1"/>
  <c r="AB19" i="30"/>
  <c r="AB25" i="30" s="1"/>
  <c r="AB29" i="30" s="1"/>
  <c r="AA19" i="30"/>
  <c r="AA25" i="30" s="1"/>
  <c r="AA29" i="30" s="1"/>
  <c r="Z19" i="30"/>
  <c r="Z25" i="30" s="1"/>
  <c r="Y19" i="30"/>
  <c r="X19" i="30"/>
  <c r="X25" i="30" s="1"/>
  <c r="W19" i="30"/>
  <c r="W25" i="30" s="1"/>
  <c r="W29" i="30" s="1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E19" i="30" s="1"/>
  <c r="H19" i="30"/>
  <c r="G19" i="30"/>
  <c r="F19" i="30"/>
  <c r="AK18" i="30"/>
  <c r="AC18" i="30"/>
  <c r="U18" i="30"/>
  <c r="M18" i="30"/>
  <c r="E18" i="30"/>
  <c r="D18" i="30"/>
  <c r="AK17" i="30"/>
  <c r="AC17" i="30"/>
  <c r="U17" i="30"/>
  <c r="M17" i="30"/>
  <c r="E17" i="30"/>
  <c r="D17" i="30"/>
  <c r="AK16" i="30"/>
  <c r="AC16" i="30"/>
  <c r="U16" i="30"/>
  <c r="M16" i="30"/>
  <c r="E16" i="30"/>
  <c r="D16" i="30"/>
  <c r="AK15" i="30"/>
  <c r="AC15" i="30"/>
  <c r="U15" i="30"/>
  <c r="M15" i="30"/>
  <c r="E15" i="30"/>
  <c r="D15" i="30"/>
  <c r="AK14" i="30"/>
  <c r="AC14" i="30"/>
  <c r="U14" i="30"/>
  <c r="M14" i="30"/>
  <c r="E14" i="30"/>
  <c r="D14" i="30"/>
  <c r="AK13" i="30"/>
  <c r="AC13" i="30"/>
  <c r="U13" i="30"/>
  <c r="M13" i="30"/>
  <c r="E13" i="30"/>
  <c r="D13" i="30"/>
  <c r="AK12" i="30"/>
  <c r="AC12" i="30"/>
  <c r="U12" i="30"/>
  <c r="M12" i="30"/>
  <c r="E12" i="30"/>
  <c r="D12" i="30"/>
  <c r="AK11" i="30"/>
  <c r="AC11" i="30"/>
  <c r="U11" i="30"/>
  <c r="M11" i="30"/>
  <c r="E11" i="30"/>
  <c r="D11" i="30"/>
  <c r="AK10" i="30"/>
  <c r="AC10" i="30"/>
  <c r="U10" i="30"/>
  <c r="M10" i="30"/>
  <c r="E10" i="30"/>
  <c r="D10" i="30"/>
  <c r="AN9" i="30"/>
  <c r="AK9" i="30" s="1"/>
  <c r="AC9" i="30"/>
  <c r="V9" i="30"/>
  <c r="V25" i="30" s="1"/>
  <c r="U9" i="30"/>
  <c r="T9" i="30"/>
  <c r="S9" i="30"/>
  <c r="R9" i="30"/>
  <c r="R25" i="30" s="1"/>
  <c r="R29" i="30" s="1"/>
  <c r="Q9" i="30"/>
  <c r="Q25" i="30" s="1"/>
  <c r="Q29" i="30" s="1"/>
  <c r="P9" i="30"/>
  <c r="P25" i="30" s="1"/>
  <c r="P29" i="30" s="1"/>
  <c r="O9" i="30"/>
  <c r="O25" i="30" s="1"/>
  <c r="O29" i="30" s="1"/>
  <c r="N9" i="30"/>
  <c r="D9" i="30" s="1"/>
  <c r="M9" i="30"/>
  <c r="L9" i="30"/>
  <c r="L25" i="30" s="1"/>
  <c r="L29" i="30" s="1"/>
  <c r="K9" i="30"/>
  <c r="J9" i="30"/>
  <c r="J25" i="30" s="1"/>
  <c r="J29" i="30" s="1"/>
  <c r="I9" i="30"/>
  <c r="I25" i="30" s="1"/>
  <c r="H9" i="30"/>
  <c r="F9" i="30"/>
  <c r="F25" i="30" s="1"/>
  <c r="F29" i="30" s="1"/>
  <c r="E9" i="30"/>
  <c r="AK8" i="30"/>
  <c r="AC8" i="30"/>
  <c r="U8" i="30"/>
  <c r="M8" i="30"/>
  <c r="K8" i="30"/>
  <c r="E8" i="30" s="1"/>
  <c r="AK7" i="30"/>
  <c r="AH7" i="30"/>
  <c r="AC7" i="30" s="1"/>
  <c r="U7" i="30"/>
  <c r="M7" i="30"/>
  <c r="E7" i="30"/>
  <c r="D7" i="30"/>
  <c r="AM6" i="30"/>
  <c r="AM25" i="30" s="1"/>
  <c r="AM29" i="30" s="1"/>
  <c r="AK6" i="30"/>
  <c r="AK25" i="30" s="1"/>
  <c r="AK29" i="30" s="1"/>
  <c r="AH6" i="30"/>
  <c r="AC6" i="30" s="1"/>
  <c r="Y6" i="30"/>
  <c r="Y25" i="30" s="1"/>
  <c r="Y29" i="30" s="1"/>
  <c r="U6" i="30"/>
  <c r="M6" i="30"/>
  <c r="E6" i="30"/>
  <c r="I29" i="30" l="1"/>
  <c r="V29" i="30"/>
  <c r="E25" i="30"/>
  <c r="AJ29" i="30"/>
  <c r="U28" i="30"/>
  <c r="M25" i="30"/>
  <c r="M29" i="30" s="1"/>
  <c r="X29" i="30"/>
  <c r="Y30" i="30"/>
  <c r="U25" i="30"/>
  <c r="U29" i="30" s="1"/>
  <c r="Z29" i="30"/>
  <c r="AC25" i="30"/>
  <c r="D21" i="30"/>
  <c r="AG25" i="30"/>
  <c r="AG29" i="30" s="1"/>
  <c r="S25" i="30"/>
  <c r="S29" i="30" s="1"/>
  <c r="AH25" i="30"/>
  <c r="AH29" i="30" s="1"/>
  <c r="AN30" i="30" s="1"/>
  <c r="K25" i="30"/>
  <c r="K29" i="30" s="1"/>
  <c r="Q30" i="30" s="1"/>
  <c r="D27" i="30"/>
  <c r="E27" i="30"/>
  <c r="E28" i="30" s="1"/>
  <c r="AC27" i="30"/>
  <c r="AC28" i="30" s="1"/>
  <c r="H25" i="30"/>
  <c r="H29" i="30" s="1"/>
  <c r="I30" i="30" s="1"/>
  <c r="D6" i="30"/>
  <c r="D19" i="30"/>
  <c r="D23" i="30"/>
  <c r="N25" i="30"/>
  <c r="N29" i="30" s="1"/>
  <c r="X28" i="30"/>
  <c r="D28" i="30" s="1"/>
  <c r="D8" i="30"/>
  <c r="AN25" i="30"/>
  <c r="AN29" i="30" s="1"/>
  <c r="D29" i="30" l="1"/>
  <c r="E29" i="30"/>
  <c r="AC29" i="30"/>
  <c r="D25" i="30"/>
  <c r="AG30" i="30"/>
  <c r="L29" i="29" l="1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R28" i="29"/>
  <c r="Q28" i="29"/>
  <c r="O28" i="29"/>
  <c r="N28" i="29"/>
  <c r="M28" i="29"/>
  <c r="L28" i="29"/>
  <c r="K28" i="29"/>
  <c r="H28" i="29"/>
  <c r="G28" i="29"/>
  <c r="F28" i="29"/>
  <c r="E28" i="29"/>
  <c r="AF27" i="29"/>
  <c r="X27" i="29"/>
  <c r="W27" i="29"/>
  <c r="S27" i="29"/>
  <c r="S28" i="29" s="1"/>
  <c r="P27" i="29"/>
  <c r="P28" i="29" s="1"/>
  <c r="J27" i="29"/>
  <c r="J28" i="29" s="1"/>
  <c r="I27" i="29"/>
  <c r="I28" i="29" s="1"/>
  <c r="D27" i="29"/>
  <c r="D26" i="29"/>
  <c r="D28" i="29" s="1"/>
  <c r="AI25" i="29"/>
  <c r="AI29" i="29" s="1"/>
  <c r="AC25" i="29"/>
  <c r="AC29" i="29" s="1"/>
  <c r="AA25" i="29"/>
  <c r="AA29" i="29" s="1"/>
  <c r="Z25" i="29"/>
  <c r="Z29" i="29" s="1"/>
  <c r="Y25" i="29"/>
  <c r="Y29" i="29" s="1"/>
  <c r="T25" i="29"/>
  <c r="T29" i="29" s="1"/>
  <c r="R25" i="29"/>
  <c r="R29" i="29" s="1"/>
  <c r="Q25" i="29"/>
  <c r="Q29" i="29" s="1"/>
  <c r="O25" i="29"/>
  <c r="O29" i="29" s="1"/>
  <c r="N25" i="29"/>
  <c r="N29" i="29" s="1"/>
  <c r="M25" i="29"/>
  <c r="M29" i="29" s="1"/>
  <c r="L25" i="29"/>
  <c r="K25" i="29"/>
  <c r="K29" i="29" s="1"/>
  <c r="G25" i="29"/>
  <c r="G29" i="29" s="1"/>
  <c r="F25" i="29"/>
  <c r="F29" i="29" s="1"/>
  <c r="E25" i="29"/>
  <c r="E29" i="29" s="1"/>
  <c r="J23" i="29"/>
  <c r="I23" i="29"/>
  <c r="D23" i="29"/>
  <c r="V22" i="29"/>
  <c r="J22" i="29"/>
  <c r="I22" i="29"/>
  <c r="D22" i="29"/>
  <c r="J21" i="29"/>
  <c r="I21" i="29"/>
  <c r="D21" i="29"/>
  <c r="D20" i="29"/>
  <c r="AG19" i="29"/>
  <c r="AF19" i="29"/>
  <c r="AF25" i="29" s="1"/>
  <c r="AF29" i="29" s="1"/>
  <c r="AE19" i="29"/>
  <c r="AB19" i="29"/>
  <c r="AB25" i="29" s="1"/>
  <c r="AB29" i="29" s="1"/>
  <c r="Y19" i="29"/>
  <c r="X19" i="29"/>
  <c r="W19" i="29"/>
  <c r="V19" i="29"/>
  <c r="V25" i="29" s="1"/>
  <c r="V29" i="29" s="1"/>
  <c r="S19" i="29"/>
  <c r="P19" i="29"/>
  <c r="O19" i="29"/>
  <c r="J19" i="29"/>
  <c r="I19" i="29"/>
  <c r="H19" i="29"/>
  <c r="D19" i="29" s="1"/>
  <c r="D18" i="29"/>
  <c r="D17" i="29"/>
  <c r="D16" i="29"/>
  <c r="D15" i="29"/>
  <c r="D14" i="29"/>
  <c r="D13" i="29"/>
  <c r="D12" i="29"/>
  <c r="D11" i="29"/>
  <c r="D10" i="29"/>
  <c r="AH9" i="29"/>
  <c r="AH25" i="29" s="1"/>
  <c r="AH29" i="29" s="1"/>
  <c r="AG9" i="29"/>
  <c r="AG25" i="29" s="1"/>
  <c r="AG29" i="29" s="1"/>
  <c r="AE9" i="29"/>
  <c r="AE25" i="29" s="1"/>
  <c r="AE29" i="29" s="1"/>
  <c r="AD9" i="29"/>
  <c r="D9" i="29" s="1"/>
  <c r="AC9" i="29"/>
  <c r="Y9" i="29"/>
  <c r="X9" i="29"/>
  <c r="X25" i="29" s="1"/>
  <c r="X29" i="29" s="1"/>
  <c r="W9" i="29"/>
  <c r="W25" i="29" s="1"/>
  <c r="W29" i="29" s="1"/>
  <c r="U9" i="29"/>
  <c r="U25" i="29" s="1"/>
  <c r="U29" i="29" s="1"/>
  <c r="S9" i="29"/>
  <c r="S25" i="29" s="1"/>
  <c r="P9" i="29"/>
  <c r="P25" i="29" s="1"/>
  <c r="O9" i="29"/>
  <c r="J9" i="29"/>
  <c r="J25" i="29" s="1"/>
  <c r="I9" i="29"/>
  <c r="I25" i="29" s="1"/>
  <c r="D8" i="29"/>
  <c r="D7" i="29"/>
  <c r="D6" i="29"/>
  <c r="I29" i="29" l="1"/>
  <c r="D25" i="29"/>
  <c r="D29" i="29" s="1"/>
  <c r="J29" i="29"/>
  <c r="P29" i="29"/>
  <c r="S29" i="29"/>
  <c r="AD25" i="29"/>
  <c r="AD29" i="29" s="1"/>
  <c r="H25" i="29"/>
  <c r="H29" i="29" s="1"/>
  <c r="AF28" i="28" l="1"/>
  <c r="AC28" i="28"/>
  <c r="AA28" i="28"/>
  <c r="Z28" i="28"/>
  <c r="Y28" i="28"/>
  <c r="T28" i="28"/>
  <c r="Q28" i="28"/>
  <c r="O28" i="28"/>
  <c r="N28" i="28"/>
  <c r="M28" i="28"/>
  <c r="H28" i="28"/>
  <c r="E28" i="28"/>
  <c r="AI27" i="28"/>
  <c r="AI28" i="28" s="1"/>
  <c r="AH27" i="28"/>
  <c r="AH28" i="28" s="1"/>
  <c r="AG27" i="28"/>
  <c r="AG28" i="28" s="1"/>
  <c r="AF27" i="28"/>
  <c r="AE27" i="28"/>
  <c r="AE28" i="28" s="1"/>
  <c r="AD27" i="28"/>
  <c r="AD28" i="28" s="1"/>
  <c r="AC27" i="28"/>
  <c r="AB27" i="28"/>
  <c r="AB28" i="28" s="1"/>
  <c r="AA27" i="28"/>
  <c r="Z27" i="28"/>
  <c r="Y27" i="28"/>
  <c r="X27" i="28"/>
  <c r="X28" i="28" s="1"/>
  <c r="W27" i="28"/>
  <c r="W28" i="28" s="1"/>
  <c r="V27" i="28"/>
  <c r="V28" i="28" s="1"/>
  <c r="U27" i="28"/>
  <c r="U28" i="28" s="1"/>
  <c r="T27" i="28"/>
  <c r="S27" i="28"/>
  <c r="S28" i="28" s="1"/>
  <c r="R27" i="28"/>
  <c r="R28" i="28" s="1"/>
  <c r="Q27" i="28"/>
  <c r="P27" i="28"/>
  <c r="P28" i="28" s="1"/>
  <c r="O27" i="28"/>
  <c r="N27" i="28"/>
  <c r="M27" i="28"/>
  <c r="L27" i="28"/>
  <c r="L28" i="28" s="1"/>
  <c r="K27" i="28"/>
  <c r="K28" i="28" s="1"/>
  <c r="J27" i="28"/>
  <c r="J28" i="28" s="1"/>
  <c r="I27" i="28"/>
  <c r="I28" i="28" s="1"/>
  <c r="H27" i="28"/>
  <c r="G27" i="28"/>
  <c r="G28" i="28" s="1"/>
  <c r="F27" i="28"/>
  <c r="F28" i="28" s="1"/>
  <c r="E27" i="28"/>
  <c r="D26" i="28"/>
  <c r="AD25" i="28"/>
  <c r="AD29" i="28" s="1"/>
  <c r="H25" i="28"/>
  <c r="H29" i="28" s="1"/>
  <c r="F25" i="28"/>
  <c r="F29" i="28" s="1"/>
  <c r="AI23" i="28"/>
  <c r="AH23" i="28"/>
  <c r="AG23" i="28"/>
  <c r="AF23" i="28"/>
  <c r="AE23" i="28"/>
  <c r="AD23" i="28"/>
  <c r="AC23" i="28"/>
  <c r="AB23" i="28"/>
  <c r="AA23" i="28"/>
  <c r="Z23" i="28"/>
  <c r="X23" i="28"/>
  <c r="W23" i="28"/>
  <c r="T23" i="28"/>
  <c r="S23" i="28"/>
  <c r="R23" i="28"/>
  <c r="P23" i="28"/>
  <c r="O23" i="28"/>
  <c r="N23" i="28"/>
  <c r="M23" i="28"/>
  <c r="L23" i="28"/>
  <c r="J23" i="28"/>
  <c r="I23" i="28"/>
  <c r="D23" i="28" s="1"/>
  <c r="F23" i="28"/>
  <c r="AI22" i="28"/>
  <c r="AH22" i="28"/>
  <c r="AG22" i="28"/>
  <c r="AF22" i="28"/>
  <c r="AE22" i="28"/>
  <c r="AD22" i="28"/>
  <c r="AC22" i="28"/>
  <c r="AB22" i="28"/>
  <c r="AA22" i="28"/>
  <c r="Z22" i="28"/>
  <c r="X22" i="28"/>
  <c r="W22" i="28"/>
  <c r="V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D22" i="28" s="1"/>
  <c r="F22" i="28"/>
  <c r="AI21" i="28"/>
  <c r="AH21" i="28"/>
  <c r="AG21" i="28"/>
  <c r="AF21" i="28"/>
  <c r="AE21" i="28"/>
  <c r="AD21" i="28"/>
  <c r="AC21" i="28"/>
  <c r="AB21" i="28"/>
  <c r="AA21" i="28"/>
  <c r="Z21" i="28"/>
  <c r="X21" i="28"/>
  <c r="W21" i="28"/>
  <c r="V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D21" i="28"/>
  <c r="AI19" i="28"/>
  <c r="AH19" i="28"/>
  <c r="AG19" i="28"/>
  <c r="AF19" i="28"/>
  <c r="AE19" i="28"/>
  <c r="AE25" i="28" s="1"/>
  <c r="AE29" i="28" s="1"/>
  <c r="AD19" i="28"/>
  <c r="AC19" i="28"/>
  <c r="AB19" i="28"/>
  <c r="AA19" i="28"/>
  <c r="Z19" i="28"/>
  <c r="Y19" i="28"/>
  <c r="X19" i="28"/>
  <c r="W19" i="28"/>
  <c r="W25" i="28" s="1"/>
  <c r="W29" i="28" s="1"/>
  <c r="V19" i="28"/>
  <c r="U19" i="28"/>
  <c r="T19" i="28"/>
  <c r="S19" i="28"/>
  <c r="R19" i="28"/>
  <c r="Q19" i="28"/>
  <c r="Q25" i="28" s="1"/>
  <c r="Q29" i="28" s="1"/>
  <c r="P19" i="28"/>
  <c r="O19" i="28"/>
  <c r="N19" i="28"/>
  <c r="M19" i="28"/>
  <c r="L19" i="28"/>
  <c r="D19" i="28" s="1"/>
  <c r="K19" i="28"/>
  <c r="J19" i="28"/>
  <c r="I19" i="28"/>
  <c r="H19" i="28"/>
  <c r="G19" i="28"/>
  <c r="F19" i="28"/>
  <c r="E19" i="28"/>
  <c r="AI9" i="28"/>
  <c r="AI25" i="28" s="1"/>
  <c r="AI29" i="28" s="1"/>
  <c r="AH9" i="28"/>
  <c r="AH25" i="28" s="1"/>
  <c r="AH29" i="28" s="1"/>
  <c r="AG9" i="28"/>
  <c r="AG25" i="28" s="1"/>
  <c r="AG29" i="28" s="1"/>
  <c r="AF9" i="28"/>
  <c r="AF25" i="28" s="1"/>
  <c r="AF29" i="28" s="1"/>
  <c r="AD9" i="28"/>
  <c r="AC9" i="28"/>
  <c r="AC25" i="28" s="1"/>
  <c r="AC29" i="28" s="1"/>
  <c r="AB9" i="28"/>
  <c r="AB25" i="28" s="1"/>
  <c r="AB29" i="28" s="1"/>
  <c r="AA9" i="28"/>
  <c r="AA25" i="28" s="1"/>
  <c r="AA29" i="28" s="1"/>
  <c r="Z9" i="28"/>
  <c r="Z25" i="28" s="1"/>
  <c r="Z29" i="28" s="1"/>
  <c r="Y9" i="28"/>
  <c r="Y25" i="28" s="1"/>
  <c r="Y29" i="28" s="1"/>
  <c r="X9" i="28"/>
  <c r="X25" i="28" s="1"/>
  <c r="V9" i="28"/>
  <c r="V25" i="28" s="1"/>
  <c r="V29" i="28" s="1"/>
  <c r="U9" i="28"/>
  <c r="U25" i="28" s="1"/>
  <c r="U29" i="28" s="1"/>
  <c r="T9" i="28"/>
  <c r="T25" i="28" s="1"/>
  <c r="T29" i="28" s="1"/>
  <c r="S9" i="28"/>
  <c r="S25" i="28" s="1"/>
  <c r="S29" i="28" s="1"/>
  <c r="R9" i="28"/>
  <c r="R25" i="28" s="1"/>
  <c r="R29" i="28" s="1"/>
  <c r="P9" i="28"/>
  <c r="P25" i="28" s="1"/>
  <c r="P29" i="28" s="1"/>
  <c r="O9" i="28"/>
  <c r="O25" i="28" s="1"/>
  <c r="O29" i="28" s="1"/>
  <c r="N9" i="28"/>
  <c r="N25" i="28" s="1"/>
  <c r="N29" i="28" s="1"/>
  <c r="T30" i="28" s="1"/>
  <c r="M9" i="28"/>
  <c r="M25" i="28" s="1"/>
  <c r="M29" i="28" s="1"/>
  <c r="L9" i="28"/>
  <c r="L25" i="28" s="1"/>
  <c r="L29" i="28" s="1"/>
  <c r="K9" i="28"/>
  <c r="K25" i="28" s="1"/>
  <c r="K29" i="28" s="1"/>
  <c r="J9" i="28"/>
  <c r="J25" i="28" s="1"/>
  <c r="J29" i="28" s="1"/>
  <c r="I9" i="28"/>
  <c r="I25" i="28" s="1"/>
  <c r="I29" i="28" s="1"/>
  <c r="H9" i="28"/>
  <c r="G9" i="28"/>
  <c r="G25" i="28" s="1"/>
  <c r="G29" i="28" s="1"/>
  <c r="F9" i="28"/>
  <c r="E9" i="28"/>
  <c r="E25" i="28" s="1"/>
  <c r="E29" i="28" s="1"/>
  <c r="D8" i="28"/>
  <c r="D7" i="28"/>
  <c r="D6" i="28"/>
  <c r="D28" i="28" l="1"/>
  <c r="AH30" i="28"/>
  <c r="F30" i="28"/>
  <c r="M30" i="28"/>
  <c r="X29" i="28"/>
  <c r="D29" i="28" s="1"/>
  <c r="D27" i="28"/>
  <c r="D9" i="28"/>
  <c r="D25" i="28" s="1"/>
  <c r="AA30" i="28" l="1"/>
  <c r="AE29" i="27" l="1"/>
  <c r="AD29" i="27"/>
  <c r="AC29" i="27"/>
  <c r="AA29" i="27"/>
  <c r="Z29" i="27"/>
  <c r="Y29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L28" i="27"/>
  <c r="K28" i="27"/>
  <c r="J28" i="27"/>
  <c r="I28" i="27"/>
  <c r="S27" i="27"/>
  <c r="S28" i="27" s="1"/>
  <c r="R27" i="27"/>
  <c r="R28" i="27" s="1"/>
  <c r="Q27" i="27"/>
  <c r="Q28" i="27" s="1"/>
  <c r="P27" i="27"/>
  <c r="P28" i="27" s="1"/>
  <c r="O27" i="27"/>
  <c r="O28" i="27" s="1"/>
  <c r="N27" i="27"/>
  <c r="N28" i="27" s="1"/>
  <c r="M27" i="27"/>
  <c r="M28" i="27" s="1"/>
  <c r="L27" i="27"/>
  <c r="K27" i="27"/>
  <c r="J27" i="27"/>
  <c r="I27" i="27"/>
  <c r="H27" i="27"/>
  <c r="H28" i="27" s="1"/>
  <c r="G27" i="27"/>
  <c r="G28" i="27" s="1"/>
  <c r="F27" i="27"/>
  <c r="F28" i="27" s="1"/>
  <c r="E27" i="27"/>
  <c r="E28" i="27" s="1"/>
  <c r="D26" i="27"/>
  <c r="AI25" i="27"/>
  <c r="AI29" i="27" s="1"/>
  <c r="AH25" i="27"/>
  <c r="AH29" i="27" s="1"/>
  <c r="AG25" i="27"/>
  <c r="AG29" i="27" s="1"/>
  <c r="AF25" i="27"/>
  <c r="AF29" i="27" s="1"/>
  <c r="AE25" i="27"/>
  <c r="AD25" i="27"/>
  <c r="AC25" i="27"/>
  <c r="AB25" i="27"/>
  <c r="AB29" i="27" s="1"/>
  <c r="AA25" i="27"/>
  <c r="Z25" i="27"/>
  <c r="Y25" i="27"/>
  <c r="X25" i="27"/>
  <c r="X29" i="27" s="1"/>
  <c r="W25" i="27"/>
  <c r="W29" i="27" s="1"/>
  <c r="V25" i="27"/>
  <c r="V29" i="27" s="1"/>
  <c r="U25" i="27"/>
  <c r="U29" i="27" s="1"/>
  <c r="T25" i="27"/>
  <c r="T29" i="27" s="1"/>
  <c r="J25" i="27"/>
  <c r="J29" i="27" s="1"/>
  <c r="D24" i="27"/>
  <c r="S23" i="27"/>
  <c r="R23" i="27"/>
  <c r="Q23" i="27"/>
  <c r="O23" i="27"/>
  <c r="N23" i="27"/>
  <c r="D23" i="27" s="1"/>
  <c r="M23" i="27"/>
  <c r="K23" i="27"/>
  <c r="J23" i="27"/>
  <c r="I23" i="27"/>
  <c r="H23" i="27"/>
  <c r="F23" i="27"/>
  <c r="E23" i="27"/>
  <c r="S22" i="27"/>
  <c r="R22" i="27"/>
  <c r="Q22" i="27"/>
  <c r="O22" i="27"/>
  <c r="D22" i="27" s="1"/>
  <c r="N22" i="27"/>
  <c r="M22" i="27"/>
  <c r="L22" i="27"/>
  <c r="K22" i="27"/>
  <c r="J22" i="27"/>
  <c r="I22" i="27"/>
  <c r="H22" i="27"/>
  <c r="F22" i="27"/>
  <c r="E22" i="27"/>
  <c r="S21" i="27"/>
  <c r="K21" i="27"/>
  <c r="D21" i="27" s="1"/>
  <c r="H21" i="27"/>
  <c r="F21" i="27"/>
  <c r="D20" i="27"/>
  <c r="S19" i="27"/>
  <c r="R19" i="27"/>
  <c r="Q19" i="27"/>
  <c r="P19" i="27"/>
  <c r="O19" i="27"/>
  <c r="N19" i="27"/>
  <c r="M19" i="27"/>
  <c r="L19" i="27"/>
  <c r="L25" i="27" s="1"/>
  <c r="L29" i="27" s="1"/>
  <c r="K19" i="27"/>
  <c r="J19" i="27"/>
  <c r="I19" i="27"/>
  <c r="H19" i="27"/>
  <c r="G19" i="27"/>
  <c r="F19" i="27"/>
  <c r="E19" i="27"/>
  <c r="D18" i="27"/>
  <c r="D17" i="27"/>
  <c r="D16" i="27"/>
  <c r="D15" i="27"/>
  <c r="D14" i="27"/>
  <c r="D13" i="27"/>
  <c r="D12" i="27"/>
  <c r="D11" i="27"/>
  <c r="D10" i="27"/>
  <c r="S9" i="27"/>
  <c r="S25" i="27" s="1"/>
  <c r="S29" i="27" s="1"/>
  <c r="R9" i="27"/>
  <c r="R25" i="27" s="1"/>
  <c r="R29" i="27" s="1"/>
  <c r="Q9" i="27"/>
  <c r="Q25" i="27" s="1"/>
  <c r="Q29" i="27" s="1"/>
  <c r="P9" i="27"/>
  <c r="P25" i="27" s="1"/>
  <c r="P29" i="27" s="1"/>
  <c r="O9" i="27"/>
  <c r="O25" i="27" s="1"/>
  <c r="O29" i="27" s="1"/>
  <c r="N9" i="27"/>
  <c r="N25" i="27" s="1"/>
  <c r="N29" i="27" s="1"/>
  <c r="M9" i="27"/>
  <c r="D9" i="27" s="1"/>
  <c r="L9" i="27"/>
  <c r="K9" i="27"/>
  <c r="J9" i="27"/>
  <c r="I9" i="27"/>
  <c r="I25" i="27" s="1"/>
  <c r="I29" i="27" s="1"/>
  <c r="H9" i="27"/>
  <c r="H25" i="27" s="1"/>
  <c r="H29" i="27" s="1"/>
  <c r="G9" i="27"/>
  <c r="G25" i="27" s="1"/>
  <c r="G29" i="27" s="1"/>
  <c r="F9" i="27"/>
  <c r="F25" i="27" s="1"/>
  <c r="F29" i="27" s="1"/>
  <c r="E9" i="27"/>
  <c r="E25" i="27" s="1"/>
  <c r="E29" i="27" s="1"/>
  <c r="D8" i="27"/>
  <c r="D7" i="27"/>
  <c r="D6" i="27"/>
  <c r="D28" i="27" l="1"/>
  <c r="AH30" i="27"/>
  <c r="M25" i="27"/>
  <c r="M29" i="27" s="1"/>
  <c r="D27" i="27"/>
  <c r="K25" i="27"/>
  <c r="K29" i="27" s="1"/>
  <c r="D19" i="27"/>
  <c r="D25" i="27" s="1"/>
  <c r="D29" i="27" s="1"/>
  <c r="Y50" i="26" l="1"/>
  <c r="AJ49" i="26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M49" i="26"/>
  <c r="L49" i="26"/>
  <c r="K49" i="26"/>
  <c r="J49" i="26"/>
  <c r="S48" i="26"/>
  <c r="S49" i="26" s="1"/>
  <c r="R48" i="26"/>
  <c r="R49" i="26" s="1"/>
  <c r="Q48" i="26"/>
  <c r="Q49" i="26" s="1"/>
  <c r="P48" i="26"/>
  <c r="P49" i="26" s="1"/>
  <c r="O48" i="26"/>
  <c r="O49" i="26" s="1"/>
  <c r="N48" i="26"/>
  <c r="D48" i="26" s="1"/>
  <c r="M48" i="26"/>
  <c r="L48" i="26"/>
  <c r="K48" i="26"/>
  <c r="J48" i="26"/>
  <c r="I48" i="26"/>
  <c r="I49" i="26" s="1"/>
  <c r="H48" i="26"/>
  <c r="H49" i="26" s="1"/>
  <c r="G48" i="26"/>
  <c r="G49" i="26" s="1"/>
  <c r="F48" i="26"/>
  <c r="F49" i="26" s="1"/>
  <c r="E48" i="26"/>
  <c r="E49" i="26" s="1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J24" i="26"/>
  <c r="AJ50" i="26" s="1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X24" i="26"/>
  <c r="X50" i="26" s="1"/>
  <c r="W24" i="26"/>
  <c r="W50" i="26" s="1"/>
  <c r="V24" i="26"/>
  <c r="V50" i="26" s="1"/>
  <c r="U24" i="26"/>
  <c r="U50" i="26" s="1"/>
  <c r="T24" i="26"/>
  <c r="T50" i="26" s="1"/>
  <c r="D23" i="26"/>
  <c r="S22" i="26"/>
  <c r="R22" i="26"/>
  <c r="P22" i="26"/>
  <c r="O22" i="26"/>
  <c r="O24" i="26" s="1"/>
  <c r="O50" i="26" s="1"/>
  <c r="N22" i="26"/>
  <c r="D22" i="26" s="1"/>
  <c r="M22" i="26"/>
  <c r="L22" i="26"/>
  <c r="K22" i="26"/>
  <c r="J22" i="26"/>
  <c r="I22" i="26"/>
  <c r="H22" i="26"/>
  <c r="F22" i="26"/>
  <c r="E22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 s="1"/>
  <c r="D19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D18" i="26" s="1"/>
  <c r="G18" i="26"/>
  <c r="F18" i="26"/>
  <c r="E18" i="26"/>
  <c r="E24" i="26" s="1"/>
  <c r="D17" i="26"/>
  <c r="D16" i="26"/>
  <c r="D15" i="26"/>
  <c r="D14" i="26"/>
  <c r="D13" i="26"/>
  <c r="D12" i="26"/>
  <c r="D11" i="26"/>
  <c r="D10" i="26"/>
  <c r="S9" i="26"/>
  <c r="S24" i="26" s="1"/>
  <c r="S50" i="26" s="1"/>
  <c r="R9" i="26"/>
  <c r="R24" i="26" s="1"/>
  <c r="R50" i="26" s="1"/>
  <c r="Q9" i="26"/>
  <c r="Q24" i="26" s="1"/>
  <c r="Q50" i="26" s="1"/>
  <c r="P9" i="26"/>
  <c r="P24" i="26" s="1"/>
  <c r="P50" i="26" s="1"/>
  <c r="O9" i="26"/>
  <c r="N9" i="26"/>
  <c r="N24" i="26" s="1"/>
  <c r="N50" i="26" s="1"/>
  <c r="M9" i="26"/>
  <c r="M24" i="26" s="1"/>
  <c r="M50" i="26" s="1"/>
  <c r="L9" i="26"/>
  <c r="L24" i="26" s="1"/>
  <c r="L50" i="26" s="1"/>
  <c r="K9" i="26"/>
  <c r="K24" i="26" s="1"/>
  <c r="K50" i="26" s="1"/>
  <c r="J9" i="26"/>
  <c r="J24" i="26" s="1"/>
  <c r="J50" i="26" s="1"/>
  <c r="I9" i="26"/>
  <c r="I24" i="26" s="1"/>
  <c r="I50" i="26" s="1"/>
  <c r="H9" i="26"/>
  <c r="H24" i="26" s="1"/>
  <c r="H50" i="26" s="1"/>
  <c r="G9" i="26"/>
  <c r="G24" i="26" s="1"/>
  <c r="G50" i="26" s="1"/>
  <c r="F9" i="26"/>
  <c r="F24" i="26" s="1"/>
  <c r="F50" i="26" s="1"/>
  <c r="K8" i="26"/>
  <c r="D8" i="26"/>
  <c r="D7" i="26"/>
  <c r="D6" i="26"/>
  <c r="D24" i="26" l="1"/>
  <c r="E50" i="26"/>
  <c r="D50" i="26" s="1"/>
  <c r="N49" i="26"/>
  <c r="D49" i="26" s="1"/>
  <c r="D9" i="26"/>
  <c r="R50" i="25" l="1"/>
  <c r="Q50" i="25"/>
  <c r="F50" i="25"/>
  <c r="E50" i="25"/>
  <c r="AJ49" i="25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F49" i="25"/>
  <c r="E49" i="25"/>
  <c r="O48" i="25"/>
  <c r="G48" i="25"/>
  <c r="D48" i="25" s="1"/>
  <c r="D49" i="25" s="1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AJ24" i="25"/>
  <c r="AJ50" i="25" s="1"/>
  <c r="AI24" i="25"/>
  <c r="AI50" i="25" s="1"/>
  <c r="AH24" i="25"/>
  <c r="AH50" i="25" s="1"/>
  <c r="AG24" i="25"/>
  <c r="AG50" i="25" s="1"/>
  <c r="AB24" i="25"/>
  <c r="AB50" i="25" s="1"/>
  <c r="AA24" i="25"/>
  <c r="AA50" i="25" s="1"/>
  <c r="Z24" i="25"/>
  <c r="Z50" i="25" s="1"/>
  <c r="Y24" i="25"/>
  <c r="Y50" i="25" s="1"/>
  <c r="T24" i="25"/>
  <c r="T50" i="25" s="1"/>
  <c r="R24" i="25"/>
  <c r="Q24" i="25"/>
  <c r="P24" i="25"/>
  <c r="P50" i="25" s="1"/>
  <c r="O24" i="25"/>
  <c r="O50" i="25" s="1"/>
  <c r="N24" i="25"/>
  <c r="N50" i="25" s="1"/>
  <c r="M24" i="25"/>
  <c r="M50" i="25" s="1"/>
  <c r="L24" i="25"/>
  <c r="L50" i="25" s="1"/>
  <c r="J24" i="25"/>
  <c r="J50" i="25" s="1"/>
  <c r="I24" i="25"/>
  <c r="I50" i="25" s="1"/>
  <c r="F24" i="25"/>
  <c r="E24" i="25"/>
  <c r="D23" i="25"/>
  <c r="D22" i="25"/>
  <c r="W21" i="25"/>
  <c r="O21" i="25"/>
  <c r="D21" i="25" s="1"/>
  <c r="D19" i="25"/>
  <c r="AE18" i="25"/>
  <c r="AE24" i="25" s="1"/>
  <c r="AE50" i="25" s="1"/>
  <c r="Z18" i="25"/>
  <c r="W18" i="25"/>
  <c r="V18" i="25"/>
  <c r="V24" i="25" s="1"/>
  <c r="V50" i="25" s="1"/>
  <c r="U18" i="25"/>
  <c r="U24" i="25" s="1"/>
  <c r="U50" i="25" s="1"/>
  <c r="O18" i="25"/>
  <c r="H18" i="25"/>
  <c r="H24" i="25" s="1"/>
  <c r="H50" i="25" s="1"/>
  <c r="G18" i="25"/>
  <c r="G24" i="25" s="1"/>
  <c r="D18" i="25"/>
  <c r="D17" i="25"/>
  <c r="D16" i="25"/>
  <c r="D15" i="25"/>
  <c r="D14" i="25"/>
  <c r="D13" i="25"/>
  <c r="D12" i="25"/>
  <c r="D11" i="25"/>
  <c r="D10" i="25"/>
  <c r="AF9" i="25"/>
  <c r="AF24" i="25" s="1"/>
  <c r="AF50" i="25" s="1"/>
  <c r="AD9" i="25"/>
  <c r="AD24" i="25" s="1"/>
  <c r="AD50" i="25" s="1"/>
  <c r="AC9" i="25"/>
  <c r="AC24" i="25" s="1"/>
  <c r="AC50" i="25" s="1"/>
  <c r="X9" i="25"/>
  <c r="X24" i="25" s="1"/>
  <c r="X50" i="25" s="1"/>
  <c r="W9" i="25"/>
  <c r="W24" i="25" s="1"/>
  <c r="W50" i="25" s="1"/>
  <c r="S9" i="25"/>
  <c r="S24" i="25" s="1"/>
  <c r="S50" i="25" s="1"/>
  <c r="Y51" i="25" s="1"/>
  <c r="O9" i="25"/>
  <c r="K9" i="25"/>
  <c r="K24" i="25" s="1"/>
  <c r="K50" i="25" s="1"/>
  <c r="D8" i="25"/>
  <c r="D7" i="25"/>
  <c r="D6" i="25"/>
  <c r="AF51" i="25" l="1"/>
  <c r="R51" i="25"/>
  <c r="G49" i="25"/>
  <c r="G50" i="25" s="1"/>
  <c r="K51" i="25" s="1"/>
  <c r="D9" i="25"/>
  <c r="D24" i="25" s="1"/>
  <c r="D50" i="25" s="1"/>
  <c r="D7" i="24" l="1"/>
  <c r="AJ51" i="24" l="1"/>
  <c r="AB51" i="24"/>
  <c r="U51" i="24"/>
  <c r="N51" i="24"/>
  <c r="Y49" i="24" l="1"/>
  <c r="Z49" i="24"/>
  <c r="AC49" i="24"/>
  <c r="AG49" i="24"/>
  <c r="AH49" i="24"/>
  <c r="AI49" i="24"/>
  <c r="W24" i="24"/>
  <c r="W50" i="24" s="1"/>
  <c r="AE24" i="24"/>
  <c r="AE50" i="24" s="1"/>
  <c r="AI24" i="24"/>
  <c r="AI50" i="24" s="1"/>
  <c r="AJ48" i="24"/>
  <c r="AJ49" i="24" s="1"/>
  <c r="AJ21" i="24"/>
  <c r="AJ18" i="24"/>
  <c r="AJ9" i="24"/>
  <c r="AJ24" i="24" s="1"/>
  <c r="AJ50" i="24" s="1"/>
  <c r="AH48" i="24"/>
  <c r="AH22" i="24"/>
  <c r="AH21" i="24"/>
  <c r="AH24" i="24" s="1"/>
  <c r="AH50" i="24" s="1"/>
  <c r="AH18" i="24"/>
  <c r="AH9" i="24"/>
  <c r="AG48" i="24"/>
  <c r="AG22" i="24"/>
  <c r="AG21" i="24"/>
  <c r="AG18" i="24"/>
  <c r="AG9" i="24"/>
  <c r="AG24" i="24" s="1"/>
  <c r="AG50" i="24" s="1"/>
  <c r="AF48" i="24"/>
  <c r="AF49" i="24" s="1"/>
  <c r="AF22" i="24"/>
  <c r="AF21" i="24"/>
  <c r="AF18" i="24"/>
  <c r="AF9" i="24"/>
  <c r="AF24" i="24" s="1"/>
  <c r="AF50" i="24" s="1"/>
  <c r="AE48" i="24"/>
  <c r="AE49" i="24" s="1"/>
  <c r="AE18" i="24"/>
  <c r="AE9" i="24"/>
  <c r="AD48" i="24"/>
  <c r="AD49" i="24" s="1"/>
  <c r="AD22" i="24"/>
  <c r="AD21" i="24"/>
  <c r="AD18" i="24"/>
  <c r="AD9" i="24"/>
  <c r="AD24" i="24" s="1"/>
  <c r="AD50" i="24" s="1"/>
  <c r="AC48" i="24"/>
  <c r="AC21" i="24"/>
  <c r="AC18" i="24"/>
  <c r="AC9" i="24"/>
  <c r="AC24" i="24" s="1"/>
  <c r="AC50" i="24" s="1"/>
  <c r="AB48" i="24"/>
  <c r="AB49" i="24" s="1"/>
  <c r="AB22" i="24"/>
  <c r="AB21" i="24"/>
  <c r="AB18" i="24"/>
  <c r="AB9" i="24"/>
  <c r="AB24" i="24" s="1"/>
  <c r="AB50" i="24" s="1"/>
  <c r="AA48" i="24"/>
  <c r="AA49" i="24" s="1"/>
  <c r="AA18" i="24"/>
  <c r="AA9" i="24"/>
  <c r="AA24" i="24" s="1"/>
  <c r="AA50" i="24" s="1"/>
  <c r="Z48" i="24"/>
  <c r="Z22" i="24"/>
  <c r="Z21" i="24"/>
  <c r="Z18" i="24"/>
  <c r="Z24" i="24" s="1"/>
  <c r="Z50" i="24" s="1"/>
  <c r="Z9" i="24"/>
  <c r="Y48" i="24"/>
  <c r="Y22" i="24"/>
  <c r="Y21" i="24"/>
  <c r="Y18" i="24"/>
  <c r="Y24" i="24" s="1"/>
  <c r="Y50" i="24" s="1"/>
  <c r="X48" i="24"/>
  <c r="X49" i="24" s="1"/>
  <c r="X18" i="24"/>
  <c r="X9" i="24"/>
  <c r="X24" i="24" s="1"/>
  <c r="X50" i="24" s="1"/>
  <c r="W48" i="24"/>
  <c r="W49" i="24" s="1"/>
  <c r="W18" i="24"/>
  <c r="W9" i="24"/>
  <c r="V48" i="24"/>
  <c r="V49" i="24" s="1"/>
  <c r="V22" i="24"/>
  <c r="V21" i="24"/>
  <c r="V18" i="24"/>
  <c r="V9" i="24"/>
  <c r="V24" i="24" s="1"/>
  <c r="V50" i="24" s="1"/>
  <c r="U49" i="24"/>
  <c r="U48" i="24"/>
  <c r="U22" i="24"/>
  <c r="U21" i="24"/>
  <c r="U18" i="24"/>
  <c r="U9" i="24"/>
  <c r="U24" i="24" s="1"/>
  <c r="U50" i="24" s="1"/>
  <c r="T48" i="24"/>
  <c r="T49" i="24" s="1"/>
  <c r="T21" i="24"/>
  <c r="T18" i="24"/>
  <c r="T9" i="24"/>
  <c r="T24" i="24" s="1"/>
  <c r="T50" i="24" s="1"/>
  <c r="G49" i="24"/>
  <c r="K49" i="24"/>
  <c r="L49" i="24"/>
  <c r="S49" i="24"/>
  <c r="S48" i="24"/>
  <c r="S21" i="24"/>
  <c r="S18" i="24"/>
  <c r="S9" i="24"/>
  <c r="S24" i="24" s="1"/>
  <c r="S50" i="24" s="1"/>
  <c r="R48" i="24"/>
  <c r="R49" i="24" s="1"/>
  <c r="R22" i="24"/>
  <c r="R21" i="24"/>
  <c r="R24" i="24" s="1"/>
  <c r="R50" i="24" s="1"/>
  <c r="R18" i="24"/>
  <c r="R9" i="24"/>
  <c r="Q48" i="24"/>
  <c r="Q49" i="24" s="1"/>
  <c r="Q22" i="24"/>
  <c r="Q21" i="24"/>
  <c r="Q18" i="24"/>
  <c r="Q9" i="24"/>
  <c r="Q24" i="24" s="1"/>
  <c r="Q50" i="24" s="1"/>
  <c r="P48" i="24"/>
  <c r="P49" i="24" s="1"/>
  <c r="P22" i="24"/>
  <c r="P21" i="24"/>
  <c r="P18" i="24"/>
  <c r="P24" i="24" s="1"/>
  <c r="P50" i="24" s="1"/>
  <c r="O48" i="24"/>
  <c r="O49" i="24" s="1"/>
  <c r="O21" i="24"/>
  <c r="O18" i="24"/>
  <c r="O9" i="24"/>
  <c r="O24" i="24" s="1"/>
  <c r="O50" i="24" s="1"/>
  <c r="N48" i="24"/>
  <c r="N49" i="24" s="1"/>
  <c r="N22" i="24"/>
  <c r="N21" i="24"/>
  <c r="N18" i="24"/>
  <c r="N9" i="24"/>
  <c r="N24" i="24" s="1"/>
  <c r="N50" i="24" s="1"/>
  <c r="M48" i="24"/>
  <c r="M49" i="24" s="1"/>
  <c r="M22" i="24"/>
  <c r="M21" i="24"/>
  <c r="M18" i="24"/>
  <c r="M24" i="24" s="1"/>
  <c r="M50" i="24" s="1"/>
  <c r="M9" i="24"/>
  <c r="L48" i="24"/>
  <c r="L22" i="24"/>
  <c r="L21" i="24"/>
  <c r="L18" i="24"/>
  <c r="L24" i="24" s="1"/>
  <c r="L50" i="24" s="1"/>
  <c r="K48" i="24"/>
  <c r="K22" i="24"/>
  <c r="K21" i="24"/>
  <c r="K18" i="24"/>
  <c r="K9" i="24"/>
  <c r="K24" i="24" s="1"/>
  <c r="K50" i="24" s="1"/>
  <c r="J48" i="24"/>
  <c r="J49" i="24" s="1"/>
  <c r="J22" i="24"/>
  <c r="J24" i="24" s="1"/>
  <c r="J50" i="24" s="1"/>
  <c r="J21" i="24"/>
  <c r="J18" i="24"/>
  <c r="I48" i="24"/>
  <c r="I49" i="24" s="1"/>
  <c r="I22" i="24"/>
  <c r="I21" i="24"/>
  <c r="I18" i="24"/>
  <c r="I9" i="24"/>
  <c r="I24" i="24" s="1"/>
  <c r="I50" i="24" s="1"/>
  <c r="H48" i="24"/>
  <c r="H49" i="24" s="1"/>
  <c r="H22" i="24"/>
  <c r="H21" i="24"/>
  <c r="H18" i="24"/>
  <c r="H9" i="24"/>
  <c r="H24" i="24" s="1"/>
  <c r="H50" i="24" s="1"/>
  <c r="G48" i="24"/>
  <c r="G22" i="24"/>
  <c r="G21" i="24"/>
  <c r="G18" i="24"/>
  <c r="G9" i="24"/>
  <c r="G24" i="24" s="1"/>
  <c r="G50" i="24" s="1"/>
  <c r="F48" i="24"/>
  <c r="F49" i="24" s="1"/>
  <c r="F22" i="24"/>
  <c r="F21" i="24"/>
  <c r="F24" i="24" s="1"/>
  <c r="F50" i="24" s="1"/>
  <c r="F18" i="24"/>
  <c r="F9" i="24"/>
  <c r="E48" i="24" l="1"/>
  <c r="E49" i="24" s="1"/>
  <c r="E22" i="24"/>
  <c r="E21" i="24"/>
  <c r="E18" i="24"/>
  <c r="E9" i="24"/>
  <c r="E24" i="24" l="1"/>
  <c r="E50" i="24" s="1"/>
  <c r="D49" i="24"/>
  <c r="D24" i="24" l="1"/>
  <c r="D48" i="24" l="1"/>
  <c r="D47" i="24"/>
  <c r="D23" i="24"/>
  <c r="D22" i="24"/>
  <c r="D21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6" i="24"/>
  <c r="D50" i="24" l="1"/>
  <c r="D25" i="24"/>
  <c r="D26" i="24" l="1"/>
  <c r="D28" i="24" l="1"/>
  <c r="D27" i="24"/>
  <c r="D29" i="24" l="1"/>
  <c r="D30" i="24"/>
  <c r="D31" i="24" l="1"/>
  <c r="D32" i="24" l="1"/>
  <c r="D33" i="24" l="1"/>
  <c r="D34" i="24" l="1"/>
  <c r="D35" i="24" l="1"/>
  <c r="D36" i="24" l="1"/>
  <c r="D37" i="24" l="1"/>
  <c r="D38" i="24" l="1"/>
  <c r="D39" i="24" l="1"/>
  <c r="D40" i="24" l="1"/>
  <c r="D41" i="24" l="1"/>
  <c r="D42" i="24" l="1"/>
  <c r="D43" i="24" l="1"/>
  <c r="D44" i="24" l="1"/>
  <c r="D45" i="24" l="1"/>
  <c r="D46" i="24"/>
</calcChain>
</file>

<file path=xl/sharedStrings.xml><?xml version="1.0" encoding="utf-8"?>
<sst xmlns="http://schemas.openxmlformats.org/spreadsheetml/2006/main" count="1218" uniqueCount="238">
  <si>
    <t>여의도</t>
  </si>
  <si>
    <t>자전거</t>
  </si>
  <si>
    <t>인라인</t>
  </si>
  <si>
    <t>수영장</t>
  </si>
  <si>
    <t>합계</t>
  </si>
  <si>
    <t>월계</t>
  </si>
  <si>
    <t>반포</t>
  </si>
  <si>
    <t>롤러장</t>
  </si>
  <si>
    <t>난지</t>
  </si>
  <si>
    <t>외국인</t>
  </si>
  <si>
    <t>자벌레</t>
  </si>
  <si>
    <t>골프장</t>
  </si>
  <si>
    <t>뚝섬</t>
  </si>
  <si>
    <t>캠핑장</t>
  </si>
  <si>
    <t>세빛섬</t>
  </si>
  <si>
    <t>마라톤</t>
  </si>
  <si>
    <t>장미원</t>
  </si>
  <si>
    <t>야구장</t>
  </si>
  <si>
    <t>요        일</t>
  </si>
  <si>
    <t>일        자</t>
  </si>
  <si>
    <t>여의도 시민요트나루</t>
  </si>
  <si>
    <t>일반이용자(아침)</t>
  </si>
  <si>
    <t>일반이용자(낮)</t>
  </si>
  <si>
    <t>특화공원신규 시설물</t>
  </si>
  <si>
    <t>일반이용자(저녁)</t>
  </si>
  <si>
    <t>계절,녹음수광장</t>
  </si>
  <si>
    <t>눈썰매장</t>
  </si>
  <si>
    <t>서울색공원</t>
  </si>
  <si>
    <t>운동시설</t>
  </si>
  <si>
    <t>갈대숲탐방로</t>
  </si>
  <si>
    <t>오늘날씨</t>
  </si>
  <si>
    <t>기본시설</t>
  </si>
  <si>
    <t>달빛무지개분수</t>
  </si>
  <si>
    <t>X게임장</t>
  </si>
  <si>
    <t>천상계단</t>
  </si>
  <si>
    <t>주요행사</t>
  </si>
  <si>
    <t>키즈랜드</t>
  </si>
  <si>
    <t>너른들판테라스</t>
  </si>
  <si>
    <t>수상시설</t>
  </si>
  <si>
    <t>물빛광장</t>
  </si>
  <si>
    <t>멀티프라자</t>
  </si>
  <si>
    <t>평화공원브릿지</t>
  </si>
  <si>
    <t>중앙연결브릿지</t>
  </si>
  <si>
    <t>여의도샛강</t>
  </si>
  <si>
    <t>전망쉼터</t>
  </si>
  <si>
    <t>강변물놀이장</t>
  </si>
  <si>
    <t>자전거공원</t>
  </si>
  <si>
    <t>피아노물길</t>
  </si>
  <si>
    <t>거울분수</t>
  </si>
  <si>
    <t>음악분수</t>
  </si>
  <si>
    <t>수상무대</t>
  </si>
  <si>
    <t>수변프롬나드</t>
  </si>
  <si>
    <t>반포 한강공원 1월 이용자 현황</t>
    <phoneticPr fontId="22" type="noConversion"/>
  </si>
  <si>
    <t>총계</t>
    <phoneticPr fontId="22" type="noConversion"/>
  </si>
  <si>
    <t>일</t>
  </si>
  <si>
    <t>월</t>
  </si>
  <si>
    <t>화</t>
  </si>
  <si>
    <t>수</t>
  </si>
  <si>
    <t>목</t>
  </si>
  <si>
    <t>금</t>
  </si>
  <si>
    <t>토</t>
  </si>
  <si>
    <t>금</t>
    <phoneticPr fontId="22" type="noConversion"/>
  </si>
  <si>
    <t>일</t>
    <phoneticPr fontId="22" type="noConversion"/>
  </si>
  <si>
    <t>맑음</t>
    <phoneticPr fontId="22" type="noConversion"/>
  </si>
  <si>
    <t>눈/맑음</t>
    <phoneticPr fontId="22" type="noConversion"/>
  </si>
  <si>
    <t>맑음/눈</t>
    <phoneticPr fontId="22" type="noConversion"/>
  </si>
  <si>
    <t>흐림/맑음</t>
    <phoneticPr fontId="22" type="noConversion"/>
  </si>
  <si>
    <t>맑음/흐림</t>
    <phoneticPr fontId="22" type="noConversion"/>
  </si>
  <si>
    <t>눈/흐림</t>
    <phoneticPr fontId="22" type="noConversion"/>
  </si>
  <si>
    <t>눈/맑음</t>
    <phoneticPr fontId="22" type="noConversion"/>
  </si>
  <si>
    <t>비/맑음</t>
    <phoneticPr fontId="22" type="noConversion"/>
  </si>
  <si>
    <t>흐림</t>
    <phoneticPr fontId="22" type="noConversion"/>
  </si>
  <si>
    <t>비</t>
    <phoneticPr fontId="22" type="noConversion"/>
  </si>
  <si>
    <t>흐림/눈</t>
    <phoneticPr fontId="22" type="noConversion"/>
  </si>
  <si>
    <t>PM</t>
    <phoneticPr fontId="22" type="noConversion"/>
  </si>
  <si>
    <t>반포 한강공원 2월 이용자 현황</t>
    <phoneticPr fontId="22" type="noConversion"/>
  </si>
  <si>
    <t>월</t>
    <phoneticPr fontId="22" type="noConversion"/>
  </si>
  <si>
    <t>흐림/맑음</t>
    <phoneticPr fontId="22" type="noConversion"/>
  </si>
  <si>
    <t>맑음/눈</t>
    <phoneticPr fontId="22" type="noConversion"/>
  </si>
  <si>
    <t>맑음/흐림</t>
    <phoneticPr fontId="22" type="noConversion"/>
  </si>
  <si>
    <t>맑음</t>
    <phoneticPr fontId="22" type="noConversion"/>
  </si>
  <si>
    <t>흐림/맑음</t>
    <phoneticPr fontId="22" type="noConversion"/>
  </si>
  <si>
    <t>흐림</t>
    <phoneticPr fontId="22" type="noConversion"/>
  </si>
  <si>
    <t>맑음</t>
    <phoneticPr fontId="22" type="noConversion"/>
  </si>
  <si>
    <t>비/맑음</t>
    <phoneticPr fontId="22" type="noConversion"/>
  </si>
  <si>
    <t>눈/맑음</t>
    <phoneticPr fontId="22" type="noConversion"/>
  </si>
  <si>
    <t>PM</t>
    <phoneticPr fontId="22" type="noConversion"/>
  </si>
  <si>
    <t>총계</t>
  </si>
  <si>
    <t>반포 한강공원 3월 이용자 현황</t>
    <phoneticPr fontId="22" type="noConversion"/>
  </si>
  <si>
    <t>월</t>
    <phoneticPr fontId="22" type="noConversion"/>
  </si>
  <si>
    <t>수</t>
    <phoneticPr fontId="22" type="noConversion"/>
  </si>
  <si>
    <t>비</t>
    <phoneticPr fontId="22" type="noConversion"/>
  </si>
  <si>
    <t>맑음</t>
    <phoneticPr fontId="22" type="noConversion"/>
  </si>
  <si>
    <t>맑음</t>
    <phoneticPr fontId="22" type="noConversion"/>
  </si>
  <si>
    <t>비/맑음</t>
    <phoneticPr fontId="22" type="noConversion"/>
  </si>
  <si>
    <t>흐림</t>
    <phoneticPr fontId="22" type="noConversion"/>
  </si>
  <si>
    <t>흐림/맑음</t>
    <phoneticPr fontId="22" type="noConversion"/>
  </si>
  <si>
    <t>흐림/비</t>
    <phoneticPr fontId="22" type="noConversion"/>
  </si>
  <si>
    <t xml:space="preserve"> 맑음</t>
    <phoneticPr fontId="22" type="noConversion"/>
  </si>
  <si>
    <t>농구장</t>
    <phoneticPr fontId="22" type="noConversion"/>
  </si>
  <si>
    <t>pm</t>
    <phoneticPr fontId="22" type="noConversion"/>
  </si>
  <si>
    <t>반포한강공원 이용자 현황 (4.1.~4.30.)</t>
    <phoneticPr fontId="22" type="noConversion"/>
  </si>
  <si>
    <t xml:space="preserve"> </t>
    <phoneticPr fontId="24" type="noConversion"/>
  </si>
  <si>
    <t>목</t>
    <phoneticPr fontId="24" type="noConversion"/>
  </si>
  <si>
    <t>맑음</t>
    <phoneticPr fontId="24" type="noConversion"/>
  </si>
  <si>
    <t>맑음/흐림</t>
    <phoneticPr fontId="22" type="noConversion"/>
  </si>
  <si>
    <t>흐림/비</t>
    <phoneticPr fontId="22" type="noConversion"/>
  </si>
  <si>
    <t>흐림/맑음</t>
    <phoneticPr fontId="22" type="noConversion"/>
  </si>
  <si>
    <t>맑음</t>
    <phoneticPr fontId="22" type="noConversion"/>
  </si>
  <si>
    <t>비</t>
    <phoneticPr fontId="22" type="noConversion"/>
  </si>
  <si>
    <t>흐림</t>
    <phoneticPr fontId="24" type="noConversion"/>
  </si>
  <si>
    <t>맑음</t>
    <phoneticPr fontId="24" type="noConversion"/>
  </si>
  <si>
    <t>흐림/맑음</t>
    <phoneticPr fontId="24" type="noConversion"/>
  </si>
  <si>
    <t>흐림/비</t>
    <phoneticPr fontId="24" type="noConversion"/>
  </si>
  <si>
    <t>맑음/비</t>
    <phoneticPr fontId="24" type="noConversion"/>
  </si>
  <si>
    <t>비/맑음</t>
    <phoneticPr fontId="24" type="noConversion"/>
  </si>
  <si>
    <t>송파예술마루</t>
  </si>
  <si>
    <t>롤러장</t>
    <phoneticPr fontId="22" type="noConversion"/>
  </si>
  <si>
    <t>론볼링장</t>
  </si>
  <si>
    <t>인라인</t>
    <phoneticPr fontId="24" type="noConversion"/>
  </si>
  <si>
    <t>개인형 이동장치(PM)</t>
    <phoneticPr fontId="22" type="noConversion"/>
  </si>
  <si>
    <t>세빛둥둥섬</t>
  </si>
  <si>
    <t xml:space="preserve"> </t>
    <phoneticPr fontId="24" type="noConversion"/>
  </si>
  <si>
    <t>반포 한강공원 이용자 현황 (5.1.~5.31)</t>
    <phoneticPr fontId="22" type="noConversion"/>
  </si>
  <si>
    <t>토</t>
    <phoneticPr fontId="24" type="noConversion"/>
  </si>
  <si>
    <t>토</t>
    <phoneticPr fontId="24" type="noConversion"/>
  </si>
  <si>
    <t>흐림/비</t>
    <phoneticPr fontId="24" type="noConversion"/>
  </si>
  <si>
    <t>맑음</t>
    <phoneticPr fontId="24" type="noConversion"/>
  </si>
  <si>
    <t>맑음/비</t>
    <phoneticPr fontId="24" type="noConversion"/>
  </si>
  <si>
    <t>맑음</t>
    <phoneticPr fontId="24" type="noConversion"/>
  </si>
  <si>
    <t>맑음/흐림</t>
    <phoneticPr fontId="24" type="noConversion"/>
  </si>
  <si>
    <t>비</t>
    <phoneticPr fontId="24" type="noConversion"/>
  </si>
  <si>
    <t>비/맑음</t>
    <phoneticPr fontId="24" type="noConversion"/>
  </si>
  <si>
    <t>흐림/비</t>
    <phoneticPr fontId="24" type="noConversion"/>
  </si>
  <si>
    <t>비/맑음</t>
    <phoneticPr fontId="24" type="noConversion"/>
  </si>
  <si>
    <t xml:space="preserve"> 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</si>
  <si>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</si>
  <si>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</si>
  <si>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</si>
  <si>
    <t>반포 한강공원 이용자 현황 (6.1.~6.30.)</t>
    <phoneticPr fontId="22" type="noConversion"/>
  </si>
  <si>
    <t>화</t>
    <phoneticPr fontId="24" type="noConversion"/>
  </si>
  <si>
    <t>수</t>
    <phoneticPr fontId="24" type="noConversion"/>
  </si>
  <si>
    <t xml:space="preserve"> 맑음 </t>
  </si>
  <si>
    <t>맑음</t>
  </si>
  <si>
    <t>우천/비</t>
  </si>
  <si>
    <t>맑음</t>
    <phoneticPr fontId="24" type="noConversion"/>
  </si>
  <si>
    <t>흐림/비</t>
    <phoneticPr fontId="24" type="noConversion"/>
  </si>
  <si>
    <t>흐림</t>
    <phoneticPr fontId="24" type="noConversion"/>
  </si>
  <si>
    <t>비/맑음</t>
    <phoneticPr fontId="24" type="noConversion"/>
  </si>
  <si>
    <t>비/흐림</t>
    <phoneticPr fontId="24" type="noConversion"/>
  </si>
  <si>
    <t>흐림/비</t>
    <phoneticPr fontId="24" type="noConversion"/>
  </si>
  <si>
    <t>우천</t>
    <phoneticPr fontId="24" type="noConversion"/>
  </si>
  <si>
    <t>맑음/흐림</t>
    <phoneticPr fontId="24" type="noConversion"/>
  </si>
  <si>
    <t>소나기</t>
    <phoneticPr fontId="24" type="noConversion"/>
  </si>
  <si>
    <t>맑음/소나기</t>
    <phoneticPr fontId="24" type="noConversion"/>
  </si>
  <si>
    <t>흐림/맑음</t>
    <phoneticPr fontId="24" type="noConversion"/>
  </si>
  <si>
    <t>우천/맑음</t>
    <phoneticPr fontId="24" type="noConversion"/>
  </si>
  <si>
    <t>흐림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</si>
  <si>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</si>
  <si>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</si>
  <si>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</si>
  <si>
    <t>반포 한강공원 이용자 현황 (7.1.~7.31.)</t>
    <phoneticPr fontId="22" type="noConversion"/>
  </si>
  <si>
    <t>주계</t>
    <phoneticPr fontId="22" type="noConversion"/>
  </si>
  <si>
    <t>목</t>
    <phoneticPr fontId="24" type="noConversion"/>
  </si>
  <si>
    <t>맑음</t>
    <phoneticPr fontId="24" type="noConversion"/>
  </si>
  <si>
    <t>흐림/비</t>
    <phoneticPr fontId="24" type="noConversion"/>
  </si>
  <si>
    <t>흐림</t>
    <phoneticPr fontId="24" type="noConversion"/>
  </si>
  <si>
    <t>흐림</t>
    <phoneticPr fontId="24" type="noConversion"/>
  </si>
  <si>
    <t>맑음/비</t>
    <phoneticPr fontId="24" type="noConversion"/>
  </si>
  <si>
    <t>맑음/흐림</t>
    <phoneticPr fontId="24" type="noConversion"/>
  </si>
  <si>
    <t>흐림/맑음</t>
    <phoneticPr fontId="24" type="noConversion"/>
  </si>
  <si>
    <t>비/맑음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</si>
  <si>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</si>
  <si>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</si>
  <si>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</si>
  <si>
    <t>반포 한강공원 이용자 현황 (8.1.~8.31.)</t>
    <phoneticPr fontId="22" type="noConversion"/>
  </si>
  <si>
    <t>주계</t>
    <phoneticPr fontId="22" type="noConversion"/>
  </si>
  <si>
    <t>일</t>
    <phoneticPr fontId="24" type="noConversion"/>
  </si>
  <si>
    <t>흐림/비</t>
    <phoneticPr fontId="24" type="noConversion"/>
  </si>
  <si>
    <t>흐림</t>
    <phoneticPr fontId="24" type="noConversion"/>
  </si>
  <si>
    <t>맑음</t>
    <phoneticPr fontId="24" type="noConversion"/>
  </si>
  <si>
    <t>맑음/흐림</t>
    <phoneticPr fontId="24" type="noConversion"/>
  </si>
  <si>
    <t>흐림,비</t>
    <phoneticPr fontId="24" type="noConversion"/>
  </si>
  <si>
    <t>비,맑음</t>
    <phoneticPr fontId="24" type="noConversion"/>
  </si>
  <si>
    <t>비</t>
    <phoneticPr fontId="24" type="noConversion"/>
  </si>
  <si>
    <t>비,흐림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</si>
  <si>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</si>
  <si>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</si>
  <si>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</si>
  <si>
    <t>반포 한강공원 이용자 현황 (9.1.~9.30.)</t>
    <phoneticPr fontId="22" type="noConversion"/>
  </si>
  <si>
    <t>주계</t>
    <phoneticPr fontId="22" type="noConversion"/>
  </si>
  <si>
    <t>수</t>
    <phoneticPr fontId="24" type="noConversion"/>
  </si>
  <si>
    <t>맑음/비</t>
    <phoneticPr fontId="24" type="noConversion"/>
  </si>
  <si>
    <t>흐림</t>
    <phoneticPr fontId="24" type="noConversion"/>
  </si>
  <si>
    <t>맑음</t>
    <phoneticPr fontId="24" type="noConversion"/>
  </si>
  <si>
    <t>비/맑음</t>
    <phoneticPr fontId="24" type="noConversion"/>
  </si>
  <si>
    <t>맑음</t>
    <phoneticPr fontId="24" type="noConversion"/>
  </si>
  <si>
    <t>흐림/비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</si>
  <si>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</si>
  <si>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</si>
  <si>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</si>
  <si>
    <t>반포 한강공원 이용자 현황 (10.1.~10.31.)</t>
    <phoneticPr fontId="22" type="noConversion"/>
  </si>
  <si>
    <t>주계</t>
    <phoneticPr fontId="22" type="noConversion"/>
  </si>
  <si>
    <t>금</t>
    <phoneticPr fontId="24" type="noConversion"/>
  </si>
  <si>
    <t>맑음</t>
    <phoneticPr fontId="24" type="noConversion"/>
  </si>
  <si>
    <t>흐림/비</t>
    <phoneticPr fontId="24" type="noConversion"/>
  </si>
  <si>
    <t>흐림</t>
    <phoneticPr fontId="24" type="noConversion"/>
  </si>
  <si>
    <t>비</t>
    <phoneticPr fontId="24" type="noConversion"/>
  </si>
  <si>
    <t>비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</si>
  <si>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</si>
  <si>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</si>
  <si>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</si>
  <si>
    <t>반포 한강공원 이용자 현황 (11.1.~11.30.)</t>
    <phoneticPr fontId="22" type="noConversion"/>
  </si>
  <si>
    <t>주계</t>
    <phoneticPr fontId="22" type="noConversion"/>
  </si>
  <si>
    <t>월</t>
    <phoneticPr fontId="24" type="noConversion"/>
  </si>
  <si>
    <t>월</t>
    <phoneticPr fontId="24" type="noConversion"/>
  </si>
  <si>
    <t>월</t>
    <phoneticPr fontId="24" type="noConversion"/>
  </si>
  <si>
    <t>화</t>
    <phoneticPr fontId="24" type="noConversion"/>
  </si>
  <si>
    <t>맑음</t>
    <phoneticPr fontId="24" type="noConversion"/>
  </si>
  <si>
    <t>비</t>
    <phoneticPr fontId="24" type="noConversion"/>
  </si>
  <si>
    <t>비</t>
    <phoneticPr fontId="24" type="noConversion"/>
  </si>
  <si>
    <t>비옴</t>
    <phoneticPr fontId="24" type="noConversion"/>
  </si>
  <si>
    <t>개인형 이동장치(PM)</t>
    <phoneticPr fontId="22" type="noConversion"/>
  </si>
  <si>
    <t xml:space="preserve"> </t>
    <phoneticPr fontId="24" type="noConversion"/>
  </si>
  <si>
    <t>반포 한강공원 이용자 현황 (12.1.~12.31.)</t>
    <phoneticPr fontId="22" type="noConversion"/>
  </si>
  <si>
    <t>주계</t>
    <phoneticPr fontId="22" type="noConversion"/>
  </si>
  <si>
    <t>수</t>
    <phoneticPr fontId="24" type="noConversion"/>
  </si>
  <si>
    <t>수</t>
    <phoneticPr fontId="24" type="noConversion"/>
  </si>
  <si>
    <t xml:space="preserve">목 </t>
    <phoneticPr fontId="24" type="noConversion"/>
  </si>
  <si>
    <t>금</t>
    <phoneticPr fontId="24" type="noConversion"/>
  </si>
  <si>
    <t>흐림</t>
    <phoneticPr fontId="24" type="noConversion"/>
  </si>
  <si>
    <t>맑음</t>
    <phoneticPr fontId="24" type="noConversion"/>
  </si>
  <si>
    <t>흐림/비</t>
    <phoneticPr fontId="24" type="noConversion"/>
  </si>
  <si>
    <t>흐림/맑음</t>
    <phoneticPr fontId="24" type="noConversion"/>
  </si>
  <si>
    <t>눈</t>
    <phoneticPr fontId="24" type="noConversion"/>
  </si>
  <si>
    <t>롤러장</t>
    <phoneticPr fontId="22" type="noConversion"/>
  </si>
  <si>
    <t>인라인</t>
    <phoneticPr fontId="24" type="noConversion"/>
  </si>
  <si>
    <t>개인형 이동장치(PM)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</si>
</sst>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2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8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1" fillId="2" borderId="0">
      <alignment vertical="center"/>
    </xf>
    <xf numFmtId="0" fontId="21" fillId="3" borderId="0">
      <alignment vertical="center"/>
    </xf>
    <xf numFmtId="0" fontId="21" fillId="4" borderId="0">
      <alignment vertical="center"/>
    </xf>
    <xf numFmtId="0" fontId="21" fillId="5" borderId="0">
      <alignment vertical="center"/>
    </xf>
    <xf numFmtId="0" fontId="21" fillId="6" borderId="0">
      <alignment vertical="center"/>
    </xf>
    <xf numFmtId="0" fontId="21" fillId="7" borderId="0">
      <alignment vertical="center"/>
    </xf>
    <xf numFmtId="0" fontId="21" fillId="8" borderId="0">
      <alignment vertical="center"/>
    </xf>
    <xf numFmtId="0" fontId="21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21" fillId="28" borderId="2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41" fontId="2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>
      <alignment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3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Border="1">
      <alignment vertical="center"/>
    </xf>
    <xf numFmtId="41" fontId="10" fillId="33" borderId="10" xfId="42" applyFont="1" applyFill="1" applyBorder="1" applyAlignment="1">
      <alignment horizontal="center" vertical="center" wrapText="1"/>
    </xf>
    <xf numFmtId="41" fontId="10" fillId="34" borderId="10" xfId="42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1" fillId="0" borderId="10" xfId="0" applyNumberFormat="1" applyFont="1" applyBorder="1" applyAlignment="1">
      <alignment vertical="center" wrapText="1"/>
    </xf>
    <xf numFmtId="176" fontId="0" fillId="0" borderId="13" xfId="0" applyNumberFormat="1" applyFill="1" applyBorder="1" applyAlignment="1">
      <alignment vertical="center" wrapText="1"/>
    </xf>
    <xf numFmtId="176" fontId="0" fillId="0" borderId="10" xfId="0" applyNumberFormat="1" applyBorder="1">
      <alignment vertical="center"/>
    </xf>
    <xf numFmtId="176" fontId="0" fillId="0" borderId="10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6" fontId="10" fillId="33" borderId="10" xfId="0" applyNumberFormat="1" applyFont="1" applyFill="1" applyBorder="1" applyAlignment="1">
      <alignment horizontal="center" vertical="center" wrapText="1"/>
    </xf>
    <xf numFmtId="176" fontId="0" fillId="35" borderId="10" xfId="0" applyNumberFormat="1" applyFont="1" applyFill="1" applyBorder="1" applyAlignment="1">
      <alignment horizontal="right" vertical="center" wrapText="1"/>
    </xf>
    <xf numFmtId="176" fontId="10" fillId="33" borderId="10" xfId="42" applyNumberFormat="1" applyFont="1" applyFill="1" applyBorder="1" applyAlignment="1" applyProtection="1">
      <alignment horizontal="center" vertical="center" wrapText="1"/>
    </xf>
    <xf numFmtId="176" fontId="10" fillId="34" borderId="10" xfId="42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41" fontId="10" fillId="36" borderId="10" xfId="42" applyFont="1" applyFill="1" applyBorder="1" applyAlignment="1">
      <alignment horizontal="center" vertical="center" wrapText="1"/>
    </xf>
    <xf numFmtId="0" fontId="10" fillId="36" borderId="14" xfId="0" applyFont="1" applyFill="1" applyBorder="1" applyAlignment="1">
      <alignment horizontal="center" vertical="center" wrapText="1"/>
    </xf>
    <xf numFmtId="0" fontId="10" fillId="36" borderId="15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0" fillId="33" borderId="14" xfId="0" applyFont="1" applyFill="1" applyBorder="1" applyAlignment="1">
      <alignment horizontal="center" vertical="center" wrapText="1"/>
    </xf>
    <xf numFmtId="0" fontId="10" fillId="33" borderId="16" xfId="0" applyFont="1" applyFill="1" applyBorder="1" applyAlignment="1">
      <alignment horizontal="center" vertical="center" wrapText="1"/>
    </xf>
    <xf numFmtId="0" fontId="10" fillId="33" borderId="15" xfId="0" applyFont="1" applyFill="1" applyBorder="1" applyAlignment="1">
      <alignment horizontal="center" vertical="center" wrapText="1"/>
    </xf>
    <xf numFmtId="0" fontId="10" fillId="33" borderId="17" xfId="0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0" fillId="34" borderId="14" xfId="0" applyFont="1" applyFill="1" applyBorder="1" applyAlignment="1">
      <alignment horizontal="center" vertical="center" wrapText="1"/>
    </xf>
    <xf numFmtId="0" fontId="10" fillId="34" borderId="16" xfId="0" applyFont="1" applyFill="1" applyBorder="1" applyAlignment="1">
      <alignment horizontal="center" vertical="center" wrapText="1"/>
    </xf>
    <xf numFmtId="0" fontId="10" fillId="34" borderId="15" xfId="0" applyFont="1" applyFill="1" applyBorder="1" applyAlignment="1">
      <alignment horizontal="center" vertical="center" wrapText="1"/>
    </xf>
    <xf numFmtId="0" fontId="1" fillId="0" borderId="0" xfId="43">
      <alignment vertical="center"/>
    </xf>
    <xf numFmtId="0" fontId="19" fillId="0" borderId="0" xfId="43" applyFont="1" applyBorder="1">
      <alignment vertical="center"/>
    </xf>
    <xf numFmtId="0" fontId="19" fillId="0" borderId="0" xfId="43" applyFont="1" applyBorder="1" applyAlignment="1">
      <alignment horizontal="center" vertical="center"/>
    </xf>
    <xf numFmtId="0" fontId="18" fillId="0" borderId="12" xfId="43" applyFont="1" applyBorder="1" applyAlignment="1">
      <alignment vertical="center"/>
    </xf>
    <xf numFmtId="0" fontId="1" fillId="0" borderId="12" xfId="43" applyBorder="1" applyAlignment="1">
      <alignment vertical="center"/>
    </xf>
    <xf numFmtId="0" fontId="19" fillId="0" borderId="12" xfId="43" applyFont="1" applyBorder="1" applyAlignment="1">
      <alignment horizontal="center" vertical="center"/>
    </xf>
    <xf numFmtId="0" fontId="10" fillId="33" borderId="14" xfId="43" applyFont="1" applyFill="1" applyBorder="1" applyAlignment="1">
      <alignment horizontal="center" vertical="center" wrapText="1"/>
    </xf>
    <xf numFmtId="0" fontId="10" fillId="33" borderId="16" xfId="43" applyFont="1" applyFill="1" applyBorder="1" applyAlignment="1">
      <alignment horizontal="center" vertical="center" wrapText="1"/>
    </xf>
    <xf numFmtId="0" fontId="10" fillId="33" borderId="15" xfId="43" applyFont="1" applyFill="1" applyBorder="1" applyAlignment="1">
      <alignment horizontal="center" vertical="center" wrapText="1"/>
    </xf>
    <xf numFmtId="0" fontId="10" fillId="33" borderId="17" xfId="43" applyFont="1" applyFill="1" applyBorder="1" applyAlignment="1">
      <alignment horizontal="center" vertical="center" wrapText="1"/>
    </xf>
    <xf numFmtId="0" fontId="10" fillId="33" borderId="10" xfId="43" applyFont="1" applyFill="1" applyBorder="1" applyAlignment="1">
      <alignment horizontal="center" vertical="center" wrapText="1"/>
    </xf>
    <xf numFmtId="0" fontId="10" fillId="33" borderId="18" xfId="43" applyFont="1" applyFill="1" applyBorder="1" applyAlignment="1">
      <alignment horizontal="center" vertical="center" wrapText="1"/>
    </xf>
    <xf numFmtId="0" fontId="10" fillId="0" borderId="10" xfId="43" applyFont="1" applyBorder="1" applyAlignment="1">
      <alignment horizontal="center" vertical="center" wrapText="1"/>
    </xf>
    <xf numFmtId="0" fontId="10" fillId="0" borderId="17" xfId="43" applyFont="1" applyBorder="1" applyAlignment="1">
      <alignment horizontal="center" vertical="center" wrapText="1"/>
    </xf>
    <xf numFmtId="0" fontId="10" fillId="0" borderId="14" xfId="43" applyFont="1" applyBorder="1" applyAlignment="1">
      <alignment horizontal="center" vertical="center" wrapText="1"/>
    </xf>
    <xf numFmtId="0" fontId="10" fillId="0" borderId="15" xfId="43" applyFont="1" applyBorder="1" applyAlignment="1">
      <alignment horizontal="center" vertical="center" wrapText="1"/>
    </xf>
    <xf numFmtId="0" fontId="10" fillId="33" borderId="11" xfId="43" applyFont="1" applyFill="1" applyBorder="1" applyAlignment="1">
      <alignment horizontal="center" vertical="center" wrapText="1"/>
    </xf>
    <xf numFmtId="0" fontId="1" fillId="0" borderId="10" xfId="43" applyFont="1" applyBorder="1" applyAlignment="1">
      <alignment horizontal="center" vertical="center" wrapText="1"/>
    </xf>
    <xf numFmtId="0" fontId="1" fillId="0" borderId="10" xfId="43" applyBorder="1" applyAlignment="1">
      <alignment horizontal="center" vertical="center" wrapText="1"/>
    </xf>
    <xf numFmtId="0" fontId="10" fillId="0" borderId="13" xfId="43" applyFont="1" applyBorder="1" applyAlignment="1">
      <alignment horizontal="center" vertical="center" wrapText="1"/>
    </xf>
    <xf numFmtId="0" fontId="20" fillId="0" borderId="14" xfId="43" applyFont="1" applyBorder="1" applyAlignment="1">
      <alignment horizontal="center" vertical="center" wrapText="1"/>
    </xf>
    <xf numFmtId="0" fontId="20" fillId="0" borderId="15" xfId="43" applyFont="1" applyBorder="1" applyAlignment="1">
      <alignment horizontal="center" vertical="center" wrapText="1"/>
    </xf>
    <xf numFmtId="176" fontId="10" fillId="33" borderId="10" xfId="44" applyNumberFormat="1" applyFont="1" applyFill="1" applyBorder="1" applyAlignment="1">
      <alignment horizontal="center" vertical="center" wrapText="1"/>
    </xf>
    <xf numFmtId="176" fontId="1" fillId="0" borderId="10" xfId="43" applyNumberFormat="1" applyBorder="1" applyAlignment="1">
      <alignment vertical="center" wrapText="1"/>
    </xf>
    <xf numFmtId="176" fontId="1" fillId="0" borderId="13" xfId="43" applyNumberFormat="1" applyFill="1" applyBorder="1" applyAlignment="1">
      <alignment vertical="center" wrapText="1"/>
    </xf>
    <xf numFmtId="176" fontId="1" fillId="0" borderId="10" xfId="43" applyNumberFormat="1" applyBorder="1">
      <alignment vertical="center"/>
    </xf>
    <xf numFmtId="0" fontId="1" fillId="0" borderId="10" xfId="43" applyBorder="1">
      <alignment vertical="center"/>
    </xf>
    <xf numFmtId="0" fontId="1" fillId="0" borderId="10" xfId="43" applyFont="1" applyBorder="1">
      <alignment vertical="center"/>
    </xf>
    <xf numFmtId="176" fontId="10" fillId="36" borderId="10" xfId="44" applyNumberFormat="1" applyFont="1" applyFill="1" applyBorder="1" applyAlignment="1">
      <alignment horizontal="center" vertical="center" wrapText="1"/>
    </xf>
    <xf numFmtId="176" fontId="1" fillId="0" borderId="10" xfId="43" applyNumberFormat="1" applyFont="1" applyBorder="1" applyAlignment="1">
      <alignment vertical="center" wrapText="1"/>
    </xf>
    <xf numFmtId="0" fontId="1" fillId="0" borderId="10" xfId="43" applyBorder="1" applyAlignment="1">
      <alignment vertical="center" wrapText="1"/>
    </xf>
    <xf numFmtId="0" fontId="10" fillId="36" borderId="14" xfId="43" applyFont="1" applyFill="1" applyBorder="1" applyAlignment="1">
      <alignment horizontal="center" vertical="center" wrapText="1"/>
    </xf>
    <xf numFmtId="0" fontId="10" fillId="36" borderId="15" xfId="43" applyFont="1" applyFill="1" applyBorder="1" applyAlignment="1">
      <alignment horizontal="center" vertical="center" wrapText="1"/>
    </xf>
    <xf numFmtId="0" fontId="10" fillId="0" borderId="18" xfId="43" applyFont="1" applyBorder="1" applyAlignment="1">
      <alignment horizontal="center" vertical="center" wrapText="1"/>
    </xf>
    <xf numFmtId="41" fontId="10" fillId="33" borderId="10" xfId="44" applyFont="1" applyFill="1" applyBorder="1" applyAlignment="1">
      <alignment horizontal="center" vertical="center" wrapText="1"/>
    </xf>
    <xf numFmtId="176" fontId="10" fillId="33" borderId="10" xfId="43" applyNumberFormat="1" applyFont="1" applyFill="1" applyBorder="1" applyAlignment="1">
      <alignment horizontal="center" vertical="center" wrapText="1"/>
    </xf>
    <xf numFmtId="0" fontId="20" fillId="0" borderId="10" xfId="43" applyFont="1" applyBorder="1" applyAlignment="1">
      <alignment horizontal="center" vertical="center" wrapText="1"/>
    </xf>
    <xf numFmtId="176" fontId="1" fillId="35" borderId="10" xfId="43" applyNumberFormat="1" applyFont="1" applyFill="1" applyBorder="1" applyAlignment="1">
      <alignment horizontal="right" vertical="center" wrapText="1"/>
    </xf>
    <xf numFmtId="0" fontId="10" fillId="34" borderId="14" xfId="43" applyFont="1" applyFill="1" applyBorder="1" applyAlignment="1">
      <alignment horizontal="center" vertical="center" wrapText="1"/>
    </xf>
    <xf numFmtId="0" fontId="10" fillId="34" borderId="16" xfId="43" applyFont="1" applyFill="1" applyBorder="1" applyAlignment="1">
      <alignment horizontal="center" vertical="center" wrapText="1"/>
    </xf>
    <xf numFmtId="0" fontId="10" fillId="34" borderId="15" xfId="43" applyFont="1" applyFill="1" applyBorder="1" applyAlignment="1">
      <alignment horizontal="center" vertical="center" wrapText="1"/>
    </xf>
    <xf numFmtId="176" fontId="10" fillId="34" borderId="10" xfId="44" applyNumberFormat="1" applyFont="1" applyFill="1" applyBorder="1" applyAlignment="1">
      <alignment horizontal="center" vertical="center" wrapText="1"/>
    </xf>
    <xf numFmtId="41" fontId="10" fillId="34" borderId="10" xfId="44" applyFont="1" applyFill="1" applyBorder="1" applyAlignment="1">
      <alignment horizontal="center" vertical="center" wrapText="1"/>
    </xf>
    <xf numFmtId="176" fontId="1" fillId="0" borderId="0" xfId="43" applyNumberFormat="1">
      <alignment vertical="center"/>
    </xf>
    <xf numFmtId="176" fontId="1" fillId="0" borderId="10" xfId="43" applyNumberFormat="1" applyFont="1" applyBorder="1">
      <alignment vertical="center"/>
    </xf>
    <xf numFmtId="41" fontId="10" fillId="36" borderId="10" xfId="44" applyFont="1" applyFill="1" applyBorder="1" applyAlignment="1">
      <alignment horizontal="center" vertical="center" wrapText="1"/>
    </xf>
    <xf numFmtId="3" fontId="1" fillId="0" borderId="10" xfId="43" applyNumberFormat="1" applyBorder="1" applyAlignment="1">
      <alignment vertical="center" wrapText="1"/>
    </xf>
    <xf numFmtId="0" fontId="1" fillId="35" borderId="10" xfId="43" applyFont="1" applyFill="1" applyBorder="1" applyAlignment="1">
      <alignment horizontal="right" vertical="center" wrapText="1"/>
    </xf>
    <xf numFmtId="41" fontId="10" fillId="33" borderId="10" xfId="44" applyFont="1" applyFill="1" applyBorder="1" applyAlignment="1" applyProtection="1">
      <alignment horizontal="center" vertical="center" wrapText="1"/>
    </xf>
    <xf numFmtId="176" fontId="10" fillId="33" borderId="10" xfId="44" applyNumberFormat="1" applyFont="1" applyFill="1" applyBorder="1" applyAlignment="1" applyProtection="1">
      <alignment horizontal="center" vertical="center" wrapText="1"/>
    </xf>
    <xf numFmtId="0" fontId="23" fillId="0" borderId="0" xfId="43" applyFont="1" applyAlignment="1">
      <alignment horizontal="center" vertical="center"/>
    </xf>
    <xf numFmtId="0" fontId="19" fillId="0" borderId="0" xfId="43" applyFont="1" applyAlignment="1">
      <alignment horizontal="center" vertical="center"/>
    </xf>
    <xf numFmtId="41" fontId="0" fillId="0" borderId="12" xfId="45" applyFont="1" applyBorder="1" applyAlignment="1">
      <alignment vertical="center"/>
    </xf>
    <xf numFmtId="0" fontId="10" fillId="37" borderId="10" xfId="43" applyFont="1" applyFill="1" applyBorder="1" applyAlignment="1">
      <alignment horizontal="center" vertical="center" wrapText="1"/>
    </xf>
    <xf numFmtId="41" fontId="10" fillId="37" borderId="10" xfId="45" applyFont="1" applyFill="1" applyBorder="1" applyAlignment="1">
      <alignment horizontal="center" vertical="center" wrapText="1"/>
    </xf>
    <xf numFmtId="0" fontId="10" fillId="37" borderId="10" xfId="43" applyFont="1" applyFill="1" applyBorder="1" applyAlignment="1">
      <alignment horizontal="center" vertical="center" wrapText="1"/>
    </xf>
    <xf numFmtId="0" fontId="10" fillId="0" borderId="10" xfId="43" applyFont="1" applyBorder="1" applyAlignment="1">
      <alignment horizontal="center" vertical="center" wrapText="1"/>
    </xf>
    <xf numFmtId="41" fontId="10" fillId="37" borderId="11" xfId="45" applyFont="1" applyFill="1" applyBorder="1" applyAlignment="1">
      <alignment horizontal="center" vertical="center" wrapText="1"/>
    </xf>
    <xf numFmtId="41" fontId="10" fillId="0" borderId="10" xfId="45" applyFont="1" applyBorder="1" applyAlignment="1">
      <alignment horizontal="center" vertical="center" wrapText="1"/>
    </xf>
    <xf numFmtId="0" fontId="10" fillId="36" borderId="10" xfId="43" applyFont="1" applyFill="1" applyBorder="1" applyAlignment="1">
      <alignment horizontal="center" vertical="center" wrapText="1"/>
    </xf>
    <xf numFmtId="41" fontId="10" fillId="37" borderId="10" xfId="45" applyFont="1" applyFill="1" applyBorder="1" applyAlignment="1">
      <alignment horizontal="center" vertical="center" wrapText="1"/>
    </xf>
    <xf numFmtId="176" fontId="0" fillId="0" borderId="10" xfId="45" applyNumberFormat="1" applyFont="1" applyBorder="1" applyAlignment="1">
      <alignment vertical="center" wrapText="1"/>
    </xf>
    <xf numFmtId="176" fontId="0" fillId="0" borderId="10" xfId="45" applyNumberFormat="1" applyFont="1" applyFill="1" applyBorder="1" applyAlignment="1">
      <alignment vertical="center" wrapText="1"/>
    </xf>
    <xf numFmtId="0" fontId="10" fillId="0" borderId="10" xfId="43" applyFont="1" applyFill="1" applyBorder="1" applyAlignment="1">
      <alignment horizontal="center" vertical="center" wrapText="1"/>
    </xf>
    <xf numFmtId="0" fontId="25" fillId="36" borderId="14" xfId="43" applyFont="1" applyFill="1" applyBorder="1" applyAlignment="1">
      <alignment horizontal="center" vertical="center" wrapText="1"/>
    </xf>
    <xf numFmtId="0" fontId="25" fillId="36" borderId="15" xfId="43" applyFont="1" applyFill="1" applyBorder="1" applyAlignment="1">
      <alignment horizontal="center" vertical="center" wrapText="1"/>
    </xf>
    <xf numFmtId="41" fontId="26" fillId="37" borderId="10" xfId="45" applyFont="1" applyFill="1" applyBorder="1" applyAlignment="1">
      <alignment horizontal="center" vertical="center" wrapText="1"/>
    </xf>
    <xf numFmtId="176" fontId="26" fillId="37" borderId="10" xfId="45" applyNumberFormat="1" applyFont="1" applyFill="1" applyBorder="1" applyAlignment="1">
      <alignment horizontal="center" vertical="center" wrapText="1"/>
    </xf>
    <xf numFmtId="176" fontId="10" fillId="37" borderId="10" xfId="43" applyNumberFormat="1" applyFont="1" applyFill="1" applyBorder="1" applyAlignment="1" applyProtection="1">
      <alignment horizontal="center" vertical="center" wrapText="1"/>
    </xf>
    <xf numFmtId="0" fontId="10" fillId="38" borderId="10" xfId="43" applyFont="1" applyFill="1" applyBorder="1" applyAlignment="1">
      <alignment horizontal="center" vertical="center" wrapText="1"/>
    </xf>
    <xf numFmtId="41" fontId="26" fillId="38" borderId="10" xfId="45" applyFont="1" applyFill="1" applyBorder="1" applyAlignment="1">
      <alignment horizontal="center" vertical="center" wrapText="1"/>
    </xf>
    <xf numFmtId="176" fontId="10" fillId="38" borderId="10" xfId="43" applyNumberFormat="1" applyFont="1" applyFill="1" applyBorder="1" applyAlignment="1">
      <alignment horizontal="center" vertical="center" wrapText="1"/>
    </xf>
    <xf numFmtId="41" fontId="0" fillId="0" borderId="0" xfId="45" applyFont="1">
      <alignment vertical="center"/>
    </xf>
    <xf numFmtId="176" fontId="10" fillId="37" borderId="10" xfId="45" applyNumberFormat="1" applyFont="1" applyFill="1" applyBorder="1" applyAlignment="1">
      <alignment horizontal="center" vertical="center" wrapText="1"/>
    </xf>
    <xf numFmtId="0" fontId="25" fillId="39" borderId="10" xfId="43" applyFont="1" applyFill="1" applyBorder="1" applyAlignment="1">
      <alignment horizontal="center" vertical="center" wrapText="1"/>
    </xf>
    <xf numFmtId="176" fontId="25" fillId="39" borderId="10" xfId="45" applyNumberFormat="1" applyFont="1" applyFill="1" applyBorder="1" applyAlignment="1">
      <alignment horizontal="center" vertical="center" wrapText="1"/>
    </xf>
    <xf numFmtId="0" fontId="27" fillId="40" borderId="0" xfId="43" applyFont="1" applyFill="1">
      <alignment vertical="center"/>
    </xf>
    <xf numFmtId="0" fontId="25" fillId="41" borderId="10" xfId="43" applyFont="1" applyFill="1" applyBorder="1" applyAlignment="1">
      <alignment horizontal="center" vertical="center" wrapText="1"/>
    </xf>
    <xf numFmtId="176" fontId="25" fillId="41" borderId="10" xfId="45" applyNumberFormat="1" applyFont="1" applyFill="1" applyBorder="1" applyAlignment="1">
      <alignment horizontal="center" vertical="center" wrapText="1"/>
    </xf>
    <xf numFmtId="176" fontId="25" fillId="41" borderId="10" xfId="43" applyNumberFormat="1" applyFont="1" applyFill="1" applyBorder="1" applyAlignment="1">
      <alignment horizontal="center" vertical="center" wrapText="1"/>
    </xf>
    <xf numFmtId="176" fontId="26" fillId="38" borderId="10" xfId="45" applyNumberFormat="1" applyFont="1" applyFill="1" applyBorder="1" applyAlignment="1">
      <alignment horizontal="center" vertical="center" wrapText="1"/>
    </xf>
    <xf numFmtId="41" fontId="10" fillId="34" borderId="10" xfId="45" applyFont="1" applyFill="1" applyBorder="1" applyAlignment="1">
      <alignment horizontal="center" vertical="center" wrapText="1"/>
    </xf>
    <xf numFmtId="41" fontId="10" fillId="34" borderId="10" xfId="45" applyFont="1" applyFill="1" applyBorder="1" applyAlignment="1">
      <alignment horizontal="center" vertical="center" wrapText="1"/>
    </xf>
    <xf numFmtId="41" fontId="0" fillId="34" borderId="10" xfId="45" applyFont="1" applyFill="1" applyBorder="1" applyAlignment="1">
      <alignment vertical="center" wrapText="1"/>
    </xf>
    <xf numFmtId="0" fontId="1" fillId="0" borderId="13" xfId="43" applyFill="1" applyBorder="1" applyAlignment="1">
      <alignment vertical="center" wrapText="1"/>
    </xf>
    <xf numFmtId="41" fontId="0" fillId="0" borderId="10" xfId="45" applyFont="1" applyBorder="1" applyAlignment="1">
      <alignment vertical="center" wrapText="1"/>
    </xf>
    <xf numFmtId="41" fontId="0" fillId="0" borderId="10" xfId="45" applyFont="1" applyFill="1" applyBorder="1" applyAlignment="1">
      <alignment vertical="center" wrapText="1"/>
    </xf>
    <xf numFmtId="0" fontId="10" fillId="37" borderId="10" xfId="43" applyFont="1" applyFill="1" applyBorder="1" applyAlignment="1" applyProtection="1">
      <alignment horizontal="center" vertical="center" wrapText="1"/>
    </xf>
    <xf numFmtId="41" fontId="10" fillId="38" borderId="10" xfId="43" applyNumberFormat="1" applyFont="1" applyFill="1" applyBorder="1" applyAlignment="1">
      <alignment horizontal="center" vertical="center" wrapText="1"/>
    </xf>
    <xf numFmtId="41" fontId="1" fillId="0" borderId="0" xfId="43" applyNumberFormat="1">
      <alignment vertical="center"/>
    </xf>
    <xf numFmtId="0" fontId="10" fillId="38" borderId="10" xfId="43" applyFont="1" applyFill="1" applyBorder="1" applyAlignment="1">
      <alignment horizontal="center" vertical="center" wrapText="1"/>
    </xf>
    <xf numFmtId="0" fontId="1" fillId="0" borderId="0" xfId="43" applyAlignment="1">
      <alignment horizontal="right" vertical="center"/>
    </xf>
    <xf numFmtId="41" fontId="1" fillId="0" borderId="10" xfId="45" applyFont="1" applyBorder="1" applyAlignment="1">
      <alignment horizontal="center" vertical="center" wrapText="1"/>
    </xf>
    <xf numFmtId="41" fontId="1" fillId="34" borderId="10" xfId="45" applyFont="1" applyFill="1" applyBorder="1" applyAlignment="1">
      <alignment horizontal="center" vertical="center" wrapText="1"/>
    </xf>
    <xf numFmtId="0" fontId="1" fillId="0" borderId="10" xfId="43" applyBorder="1" applyAlignment="1">
      <alignment horizontal="right" vertical="center"/>
    </xf>
    <xf numFmtId="41" fontId="0" fillId="0" borderId="10" xfId="45" applyFont="1" applyBorder="1" applyAlignment="1">
      <alignment horizontal="right" vertical="center" wrapText="1"/>
    </xf>
    <xf numFmtId="41" fontId="0" fillId="0" borderId="10" xfId="45" applyFont="1" applyFill="1" applyBorder="1" applyAlignment="1">
      <alignment horizontal="right" vertical="center" wrapText="1"/>
    </xf>
    <xf numFmtId="41" fontId="10" fillId="0" borderId="13" xfId="45" applyFont="1" applyFill="1" applyBorder="1" applyAlignment="1">
      <alignment horizontal="center" vertical="center" wrapText="1"/>
    </xf>
  </cellXfs>
  <cellStyles count="46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쉼표 [0] 2" xfId="44"/>
    <cellStyle name="쉼표 [0] 3" xfId="45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showGridLines="0" zoomScale="70" zoomScaleNormal="70" workbookViewId="0">
      <pane xSplit="3" ySplit="4" topLeftCell="D5" activePane="bottomRight" state="frozen"/>
      <selection pane="topRight"/>
      <selection pane="bottomLeft"/>
      <selection pane="bottomRight" activeCell="E52" sqref="E52"/>
    </sheetView>
  </sheetViews>
  <sheetFormatPr defaultColWidth="8.75"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3" width="9.125" style="1" customWidth="1"/>
    <col min="34" max="34" width="8.875" style="1" bestFit="1" customWidth="1"/>
    <col min="35" max="35" width="8.875" style="1" hidden="1" customWidth="1"/>
    <col min="36" max="36" width="8.75" style="1" bestFit="1" customWidth="1"/>
    <col min="37" max="16384" width="8.75" style="1"/>
  </cols>
  <sheetData>
    <row r="1" spans="1:36" ht="34.5" customHeight="1" x14ac:dyDescent="0.3">
      <c r="B1" s="7"/>
      <c r="C1" s="7"/>
      <c r="D1" s="27" t="s">
        <v>52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36" ht="14.25" customHeight="1" x14ac:dyDescent="0.3">
      <c r="A2" s="4"/>
      <c r="B2" s="5"/>
      <c r="C2" s="5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5"/>
      <c r="Q2" s="5"/>
    </row>
    <row r="3" spans="1:36" ht="16.5" customHeight="1" x14ac:dyDescent="0.3">
      <c r="A3" s="29" t="s">
        <v>19</v>
      </c>
      <c r="B3" s="30"/>
      <c r="C3" s="31"/>
      <c r="D3" s="32" t="s">
        <v>5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  <c r="AD3" s="2">
        <v>26</v>
      </c>
      <c r="AE3" s="2">
        <v>27</v>
      </c>
      <c r="AF3" s="2">
        <v>28</v>
      </c>
      <c r="AG3" s="2">
        <v>29</v>
      </c>
      <c r="AH3" s="2">
        <v>30</v>
      </c>
      <c r="AI3" s="2">
        <v>31</v>
      </c>
      <c r="AJ3" s="2">
        <v>31</v>
      </c>
    </row>
    <row r="4" spans="1:36" ht="16.5" customHeight="1" x14ac:dyDescent="0.3">
      <c r="A4" s="29" t="s">
        <v>18</v>
      </c>
      <c r="B4" s="30"/>
      <c r="C4" s="31"/>
      <c r="D4" s="33"/>
      <c r="E4" s="11" t="s">
        <v>61</v>
      </c>
      <c r="F4" s="11" t="s">
        <v>60</v>
      </c>
      <c r="G4" s="11" t="s">
        <v>54</v>
      </c>
      <c r="H4" s="11" t="s">
        <v>55</v>
      </c>
      <c r="I4" s="11" t="s">
        <v>56</v>
      </c>
      <c r="J4" s="11" t="s">
        <v>57</v>
      </c>
      <c r="K4" s="11" t="s">
        <v>58</v>
      </c>
      <c r="L4" s="11" t="s">
        <v>59</v>
      </c>
      <c r="M4" s="11" t="s">
        <v>60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54</v>
      </c>
      <c r="V4" s="11" t="s">
        <v>55</v>
      </c>
      <c r="W4" s="11" t="s">
        <v>56</v>
      </c>
      <c r="X4" s="11" t="s">
        <v>57</v>
      </c>
      <c r="Y4" s="11" t="s">
        <v>58</v>
      </c>
      <c r="Z4" s="11" t="s">
        <v>59</v>
      </c>
      <c r="AA4" s="11" t="s">
        <v>60</v>
      </c>
      <c r="AB4" s="11" t="s">
        <v>54</v>
      </c>
      <c r="AC4" s="11" t="s">
        <v>55</v>
      </c>
      <c r="AD4" s="11" t="s">
        <v>56</v>
      </c>
      <c r="AE4" s="11" t="s">
        <v>57</v>
      </c>
      <c r="AF4" s="11" t="s">
        <v>58</v>
      </c>
      <c r="AG4" s="11" t="s">
        <v>59</v>
      </c>
      <c r="AH4" s="11" t="s">
        <v>60</v>
      </c>
      <c r="AI4" s="11" t="s">
        <v>54</v>
      </c>
      <c r="AJ4" s="11" t="s">
        <v>62</v>
      </c>
    </row>
    <row r="5" spans="1:36" ht="26.25" customHeight="1" x14ac:dyDescent="0.3">
      <c r="A5" s="34" t="s">
        <v>31</v>
      </c>
      <c r="B5" s="37" t="s">
        <v>30</v>
      </c>
      <c r="C5" s="38"/>
      <c r="D5" s="3"/>
      <c r="E5" s="12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64</v>
      </c>
      <c r="K5" s="12" t="s">
        <v>63</v>
      </c>
      <c r="L5" s="12" t="s">
        <v>65</v>
      </c>
      <c r="M5" s="12" t="s">
        <v>63</v>
      </c>
      <c r="N5" s="12" t="s">
        <v>66</v>
      </c>
      <c r="O5" s="12" t="s">
        <v>67</v>
      </c>
      <c r="P5" s="12" t="s">
        <v>68</v>
      </c>
      <c r="Q5" s="12" t="s">
        <v>63</v>
      </c>
      <c r="R5" s="12" t="s">
        <v>66</v>
      </c>
      <c r="S5" s="12" t="s">
        <v>67</v>
      </c>
      <c r="T5" s="12" t="s">
        <v>69</v>
      </c>
      <c r="U5" s="12" t="s">
        <v>64</v>
      </c>
      <c r="V5" s="12" t="s">
        <v>65</v>
      </c>
      <c r="W5" s="12" t="s">
        <v>63</v>
      </c>
      <c r="X5" s="12" t="s">
        <v>63</v>
      </c>
      <c r="Y5" s="12" t="s">
        <v>70</v>
      </c>
      <c r="Z5" s="12" t="s">
        <v>71</v>
      </c>
      <c r="AA5" s="12" t="s">
        <v>63</v>
      </c>
      <c r="AB5" s="12" t="s">
        <v>63</v>
      </c>
      <c r="AC5" s="12" t="s">
        <v>63</v>
      </c>
      <c r="AD5" s="12" t="s">
        <v>72</v>
      </c>
      <c r="AE5" s="12" t="s">
        <v>63</v>
      </c>
      <c r="AF5" s="12" t="s">
        <v>65</v>
      </c>
      <c r="AG5" s="12" t="s">
        <v>63</v>
      </c>
      <c r="AH5" s="12" t="s">
        <v>73</v>
      </c>
      <c r="AI5" s="6"/>
      <c r="AJ5" s="12" t="s">
        <v>63</v>
      </c>
    </row>
    <row r="6" spans="1:36" ht="16.5" customHeight="1" x14ac:dyDescent="0.3">
      <c r="A6" s="35"/>
      <c r="B6" s="39" t="s">
        <v>21</v>
      </c>
      <c r="C6" s="40"/>
      <c r="D6" s="8">
        <f t="shared" ref="D6:D23" si="0">SUM(E6:AH6)</f>
        <v>2010</v>
      </c>
      <c r="E6" s="13">
        <v>0</v>
      </c>
      <c r="F6" s="13">
        <v>240</v>
      </c>
      <c r="G6" s="13">
        <v>0</v>
      </c>
      <c r="H6" s="13">
        <v>120</v>
      </c>
      <c r="I6" s="13">
        <v>0</v>
      </c>
      <c r="J6" s="14">
        <v>140</v>
      </c>
      <c r="K6" s="15">
        <v>0</v>
      </c>
      <c r="L6" s="13">
        <v>120</v>
      </c>
      <c r="M6" s="13">
        <v>0</v>
      </c>
      <c r="N6" s="13">
        <v>110</v>
      </c>
      <c r="O6" s="15">
        <v>0</v>
      </c>
      <c r="P6" s="13">
        <v>120</v>
      </c>
      <c r="Q6" s="13">
        <v>0</v>
      </c>
      <c r="R6" s="16">
        <v>140</v>
      </c>
      <c r="S6" s="16">
        <v>0</v>
      </c>
      <c r="T6" s="16">
        <v>120</v>
      </c>
      <c r="U6" s="16">
        <v>0</v>
      </c>
      <c r="V6" s="16">
        <v>140</v>
      </c>
      <c r="W6" s="16">
        <v>0</v>
      </c>
      <c r="X6" s="16">
        <v>120</v>
      </c>
      <c r="Y6" s="16">
        <v>0</v>
      </c>
      <c r="Z6" s="16">
        <v>140</v>
      </c>
      <c r="AA6" s="16">
        <v>0</v>
      </c>
      <c r="AB6" s="16">
        <v>120</v>
      </c>
      <c r="AC6" s="16">
        <v>0</v>
      </c>
      <c r="AD6" s="16">
        <v>130</v>
      </c>
      <c r="AE6" s="16">
        <v>0</v>
      </c>
      <c r="AF6" s="16">
        <v>120</v>
      </c>
      <c r="AG6" s="16">
        <v>0</v>
      </c>
      <c r="AH6" s="17">
        <v>130</v>
      </c>
      <c r="AI6" s="16"/>
      <c r="AJ6" s="17">
        <v>0</v>
      </c>
    </row>
    <row r="7" spans="1:36" ht="16.5" customHeight="1" x14ac:dyDescent="0.3">
      <c r="A7" s="35"/>
      <c r="B7" s="39" t="s">
        <v>22</v>
      </c>
      <c r="C7" s="40"/>
      <c r="D7" s="24">
        <f>SUM(E7:AH7)-D20</f>
        <v>29347</v>
      </c>
      <c r="E7" s="13">
        <v>1190</v>
      </c>
      <c r="F7" s="13">
        <v>1313</v>
      </c>
      <c r="G7" s="14">
        <v>1890</v>
      </c>
      <c r="H7" s="13">
        <v>1080</v>
      </c>
      <c r="I7" s="13">
        <v>1130</v>
      </c>
      <c r="J7" s="13">
        <v>813</v>
      </c>
      <c r="K7" s="13">
        <v>550</v>
      </c>
      <c r="L7" s="13">
        <v>730</v>
      </c>
      <c r="M7" s="13">
        <v>630</v>
      </c>
      <c r="N7" s="13">
        <v>1613</v>
      </c>
      <c r="O7" s="13">
        <v>540</v>
      </c>
      <c r="P7" s="13">
        <v>950</v>
      </c>
      <c r="Q7" s="13">
        <v>650</v>
      </c>
      <c r="R7" s="16">
        <v>1613</v>
      </c>
      <c r="S7" s="16">
        <v>540</v>
      </c>
      <c r="T7" s="18">
        <v>1450</v>
      </c>
      <c r="U7" s="16">
        <v>720</v>
      </c>
      <c r="V7" s="16">
        <v>813</v>
      </c>
      <c r="W7" s="16">
        <v>1550</v>
      </c>
      <c r="X7" s="16">
        <v>1300</v>
      </c>
      <c r="Y7" s="16">
        <v>720</v>
      </c>
      <c r="Z7" s="16">
        <v>943</v>
      </c>
      <c r="AA7" s="16">
        <v>550</v>
      </c>
      <c r="AB7" s="16">
        <v>1900</v>
      </c>
      <c r="AC7" s="16">
        <v>720</v>
      </c>
      <c r="AD7" s="16">
        <v>693</v>
      </c>
      <c r="AE7" s="16">
        <v>550</v>
      </c>
      <c r="AF7" s="16">
        <v>1100</v>
      </c>
      <c r="AG7" s="16">
        <v>590</v>
      </c>
      <c r="AH7" s="16">
        <v>703</v>
      </c>
      <c r="AI7" s="16"/>
      <c r="AJ7" s="16">
        <v>950</v>
      </c>
    </row>
    <row r="8" spans="1:36" ht="16.5" customHeight="1" x14ac:dyDescent="0.3">
      <c r="A8" s="35"/>
      <c r="B8" s="39" t="s">
        <v>24</v>
      </c>
      <c r="C8" s="40"/>
      <c r="D8" s="8">
        <f t="shared" si="0"/>
        <v>25142</v>
      </c>
      <c r="E8" s="13">
        <v>1500</v>
      </c>
      <c r="F8" s="13">
        <v>1260</v>
      </c>
      <c r="G8" s="13">
        <v>886</v>
      </c>
      <c r="H8" s="13">
        <v>410</v>
      </c>
      <c r="I8" s="13">
        <v>1200</v>
      </c>
      <c r="J8" s="13">
        <v>800</v>
      </c>
      <c r="K8" s="13">
        <v>346</v>
      </c>
      <c r="L8" s="13">
        <v>410</v>
      </c>
      <c r="M8" s="13">
        <v>900</v>
      </c>
      <c r="N8" s="13">
        <v>820</v>
      </c>
      <c r="O8" s="13">
        <v>796</v>
      </c>
      <c r="P8" s="13">
        <v>410</v>
      </c>
      <c r="Q8" s="13">
        <v>1000</v>
      </c>
      <c r="R8" s="16">
        <v>810</v>
      </c>
      <c r="S8" s="16">
        <v>1056</v>
      </c>
      <c r="T8" s="16">
        <v>410</v>
      </c>
      <c r="U8" s="16">
        <v>880</v>
      </c>
      <c r="V8" s="16">
        <v>840</v>
      </c>
      <c r="W8" s="16">
        <v>1056</v>
      </c>
      <c r="X8" s="16">
        <v>410</v>
      </c>
      <c r="Y8" s="16">
        <v>830</v>
      </c>
      <c r="Z8" s="16">
        <v>840</v>
      </c>
      <c r="AA8" s="16">
        <v>1576</v>
      </c>
      <c r="AB8" s="16">
        <v>410</v>
      </c>
      <c r="AC8" s="16">
        <v>1080</v>
      </c>
      <c r="AD8" s="16">
        <v>730</v>
      </c>
      <c r="AE8" s="16">
        <v>1456</v>
      </c>
      <c r="AF8" s="16">
        <v>410</v>
      </c>
      <c r="AG8" s="16">
        <v>880</v>
      </c>
      <c r="AH8" s="16">
        <v>730</v>
      </c>
      <c r="AI8" s="16"/>
      <c r="AJ8" s="16">
        <v>1666</v>
      </c>
    </row>
    <row r="9" spans="1:36" ht="16.5" customHeight="1" x14ac:dyDescent="0.3">
      <c r="A9" s="35"/>
      <c r="B9" s="39" t="s">
        <v>28</v>
      </c>
      <c r="C9" s="40"/>
      <c r="D9" s="8">
        <f t="shared" si="0"/>
        <v>25011</v>
      </c>
      <c r="E9" s="13">
        <f>200+680</f>
        <v>880</v>
      </c>
      <c r="F9" s="13">
        <f>470+565</f>
        <v>1035</v>
      </c>
      <c r="G9" s="13">
        <f>433+920</f>
        <v>1353</v>
      </c>
      <c r="H9" s="14">
        <f>500+180</f>
        <v>680</v>
      </c>
      <c r="I9" s="13">
        <f>180+540</f>
        <v>720</v>
      </c>
      <c r="J9" s="13">
        <v>715</v>
      </c>
      <c r="K9" s="13">
        <f>183+550</f>
        <v>733</v>
      </c>
      <c r="L9" s="13">
        <v>580</v>
      </c>
      <c r="M9" s="13">
        <f>160+490</f>
        <v>650</v>
      </c>
      <c r="N9" s="13">
        <f>200+925</f>
        <v>1125</v>
      </c>
      <c r="O9" s="13">
        <f>213+550</f>
        <v>763</v>
      </c>
      <c r="P9" s="13">
        <v>570</v>
      </c>
      <c r="Q9" s="13">
        <f>130+500</f>
        <v>630</v>
      </c>
      <c r="R9" s="16">
        <f>220+925</f>
        <v>1145</v>
      </c>
      <c r="S9" s="16">
        <f>550+263</f>
        <v>813</v>
      </c>
      <c r="T9" s="16">
        <f>500+190</f>
        <v>690</v>
      </c>
      <c r="U9" s="16">
        <f>130+540</f>
        <v>670</v>
      </c>
      <c r="V9" s="16">
        <f>210+565</f>
        <v>775</v>
      </c>
      <c r="W9" s="16">
        <f>263+800</f>
        <v>1063</v>
      </c>
      <c r="X9" s="16">
        <f>540+270</f>
        <v>810</v>
      </c>
      <c r="Y9" s="16">
        <v>640</v>
      </c>
      <c r="Z9" s="16">
        <f>210+635</f>
        <v>845</v>
      </c>
      <c r="AA9" s="16">
        <f>583+630</f>
        <v>1213</v>
      </c>
      <c r="AB9" s="16">
        <f>540+580</f>
        <v>1120</v>
      </c>
      <c r="AC9" s="16">
        <f>210+540</f>
        <v>750</v>
      </c>
      <c r="AD9" s="16">
        <f>180+505</f>
        <v>685</v>
      </c>
      <c r="AE9" s="16">
        <f>630+583</f>
        <v>1213</v>
      </c>
      <c r="AF9" s="16">
        <f>540+230</f>
        <v>770</v>
      </c>
      <c r="AG9" s="16">
        <f>140+550</f>
        <v>690</v>
      </c>
      <c r="AH9" s="16">
        <f>180+505</f>
        <v>685</v>
      </c>
      <c r="AI9" s="16"/>
      <c r="AJ9" s="16">
        <f>583+830</f>
        <v>1413</v>
      </c>
    </row>
    <row r="10" spans="1:36" ht="16.5" customHeight="1" x14ac:dyDescent="0.3">
      <c r="A10" s="35"/>
      <c r="B10" s="37" t="s">
        <v>17</v>
      </c>
      <c r="C10" s="38"/>
      <c r="D10" s="8">
        <f t="shared" si="0"/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6.5" customHeight="1" x14ac:dyDescent="0.3">
      <c r="A11" s="35"/>
      <c r="B11" s="37" t="s">
        <v>38</v>
      </c>
      <c r="C11" s="38"/>
      <c r="D11" s="8">
        <f t="shared" si="0"/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6.5" customHeight="1" x14ac:dyDescent="0.3">
      <c r="A12" s="35"/>
      <c r="B12" s="39" t="s">
        <v>44</v>
      </c>
      <c r="C12" s="40"/>
      <c r="D12" s="8">
        <f t="shared" si="0"/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ht="16.5" customHeight="1" x14ac:dyDescent="0.3">
      <c r="A13" s="35"/>
      <c r="B13" s="37" t="s">
        <v>46</v>
      </c>
      <c r="C13" s="38"/>
      <c r="D13" s="8">
        <f t="shared" si="0"/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ht="16.5" customHeight="1" x14ac:dyDescent="0.3">
      <c r="A14" s="35"/>
      <c r="B14" s="37" t="s">
        <v>3</v>
      </c>
      <c r="C14" s="38"/>
      <c r="D14" s="8">
        <f t="shared" si="0"/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ht="16.5" customHeight="1" x14ac:dyDescent="0.3">
      <c r="A15" s="35"/>
      <c r="B15" s="37" t="s">
        <v>7</v>
      </c>
      <c r="C15" s="38"/>
      <c r="D15" s="8">
        <f t="shared" si="0"/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ht="16.5" customHeight="1" x14ac:dyDescent="0.3">
      <c r="A16" s="35"/>
      <c r="B16" s="37" t="s">
        <v>13</v>
      </c>
      <c r="C16" s="38"/>
      <c r="D16" s="8">
        <f t="shared" si="0"/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ht="16.5" customHeight="1" x14ac:dyDescent="0.3">
      <c r="A17" s="35"/>
      <c r="B17" s="37" t="s">
        <v>26</v>
      </c>
      <c r="C17" s="38"/>
      <c r="D17" s="8">
        <f t="shared" si="0"/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ht="16.5" customHeight="1" x14ac:dyDescent="0.3">
      <c r="A18" s="35"/>
      <c r="B18" s="39" t="s">
        <v>1</v>
      </c>
      <c r="C18" s="40"/>
      <c r="D18" s="8">
        <f t="shared" si="0"/>
        <v>31530</v>
      </c>
      <c r="E18" s="13">
        <f>1170+830</f>
        <v>2000</v>
      </c>
      <c r="F18" s="13">
        <f>885+420</f>
        <v>1305</v>
      </c>
      <c r="G18" s="14">
        <f>480+1580</f>
        <v>2060</v>
      </c>
      <c r="H18" s="13">
        <f>480+1100</f>
        <v>1580</v>
      </c>
      <c r="I18" s="13">
        <f>630+1030</f>
        <v>1660</v>
      </c>
      <c r="J18" s="13">
        <f>270+380</f>
        <v>650</v>
      </c>
      <c r="K18" s="13">
        <f>175+550</f>
        <v>725</v>
      </c>
      <c r="L18" s="13">
        <f>480+270</f>
        <v>750</v>
      </c>
      <c r="M18" s="13">
        <f>390+520</f>
        <v>910</v>
      </c>
      <c r="N18" s="13">
        <f>210+660</f>
        <v>870</v>
      </c>
      <c r="O18" s="13">
        <f>435+550</f>
        <v>985</v>
      </c>
      <c r="P18" s="13">
        <f>480+240</f>
        <v>720</v>
      </c>
      <c r="Q18" s="13">
        <f>350+530</f>
        <v>880</v>
      </c>
      <c r="R18" s="16">
        <f>200+700</f>
        <v>900</v>
      </c>
      <c r="S18" s="16">
        <f>435+550</f>
        <v>985</v>
      </c>
      <c r="T18" s="16">
        <f>480+390</f>
        <v>870</v>
      </c>
      <c r="U18" s="16">
        <f>400+540</f>
        <v>940</v>
      </c>
      <c r="V18" s="16">
        <f>180+340</f>
        <v>520</v>
      </c>
      <c r="W18" s="16">
        <f>435+810</f>
        <v>1245</v>
      </c>
      <c r="X18" s="16">
        <f>480+380</f>
        <v>860</v>
      </c>
      <c r="Y18" s="16">
        <f>320+530</f>
        <v>850</v>
      </c>
      <c r="Z18" s="16">
        <f>180+500</f>
        <v>680</v>
      </c>
      <c r="AA18" s="16">
        <f>755+550</f>
        <v>1305</v>
      </c>
      <c r="AB18" s="16">
        <f>590+1300</f>
        <v>1890</v>
      </c>
      <c r="AC18" s="16">
        <f>540+530</f>
        <v>1070</v>
      </c>
      <c r="AD18" s="16">
        <f>230+270</f>
        <v>500</v>
      </c>
      <c r="AE18" s="16">
        <f>685+550</f>
        <v>1235</v>
      </c>
      <c r="AF18" s="16">
        <f>590+430</f>
        <v>1020</v>
      </c>
      <c r="AG18" s="16">
        <f>400+475</f>
        <v>875</v>
      </c>
      <c r="AH18" s="16">
        <f>230+460</f>
        <v>690</v>
      </c>
      <c r="AI18" s="16"/>
      <c r="AJ18" s="16">
        <f>1375+850</f>
        <v>2225</v>
      </c>
    </row>
    <row r="19" spans="1:36" ht="16.5" customHeight="1" x14ac:dyDescent="0.3">
      <c r="A19" s="35"/>
      <c r="B19" s="37" t="s">
        <v>2</v>
      </c>
      <c r="C19" s="38"/>
      <c r="D19" s="8">
        <f t="shared" si="0"/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6"/>
      <c r="S19" s="16"/>
      <c r="T19" s="16"/>
      <c r="U19" s="16"/>
      <c r="V19" s="16"/>
      <c r="W19" s="16"/>
      <c r="X19" s="16"/>
      <c r="Y19" s="16"/>
      <c r="Z19" s="18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16.5" customHeight="1" x14ac:dyDescent="0.3">
      <c r="A20" s="35"/>
      <c r="B20" s="25" t="s">
        <v>74</v>
      </c>
      <c r="C20" s="26"/>
      <c r="D20" s="24">
        <v>187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6"/>
      <c r="S20" s="16"/>
      <c r="T20" s="16"/>
      <c r="U20" s="16"/>
      <c r="V20" s="16"/>
      <c r="W20" s="16"/>
      <c r="X20" s="16"/>
      <c r="Y20" s="16"/>
      <c r="Z20" s="18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16.5" customHeight="1" x14ac:dyDescent="0.3">
      <c r="A21" s="35"/>
      <c r="B21" s="39" t="s">
        <v>15</v>
      </c>
      <c r="C21" s="40"/>
      <c r="D21" s="8">
        <f t="shared" si="0"/>
        <v>8543</v>
      </c>
      <c r="E21" s="13">
        <f>150+78</f>
        <v>228</v>
      </c>
      <c r="F21" s="13">
        <f>164+87</f>
        <v>251</v>
      </c>
      <c r="G21" s="13">
        <f>221+225</f>
        <v>446</v>
      </c>
      <c r="H21" s="13">
        <f>210+210</f>
        <v>420</v>
      </c>
      <c r="I21" s="13">
        <f>130+78</f>
        <v>208</v>
      </c>
      <c r="J21" s="13">
        <f>70+164</f>
        <v>234</v>
      </c>
      <c r="K21" s="13">
        <f>17+300</f>
        <v>317</v>
      </c>
      <c r="L21" s="13">
        <f>210+100</f>
        <v>310</v>
      </c>
      <c r="M21" s="13">
        <f>120+65</f>
        <v>185</v>
      </c>
      <c r="N21" s="13">
        <f>164+20</f>
        <v>184</v>
      </c>
      <c r="O21" s="13">
        <f>17+300</f>
        <v>317</v>
      </c>
      <c r="P21" s="13">
        <f>210+70</f>
        <v>280</v>
      </c>
      <c r="Q21" s="13">
        <f>100+65</f>
        <v>165</v>
      </c>
      <c r="R21" s="16">
        <f>16+164</f>
        <v>180</v>
      </c>
      <c r="S21" s="16">
        <f>17+300</f>
        <v>317</v>
      </c>
      <c r="T21" s="16">
        <f>210+110</f>
        <v>320</v>
      </c>
      <c r="U21" s="16">
        <f>110+65</f>
        <v>175</v>
      </c>
      <c r="V21" s="16">
        <f>16+134</f>
        <v>150</v>
      </c>
      <c r="W21" s="16">
        <v>117</v>
      </c>
      <c r="X21" s="16">
        <v>310</v>
      </c>
      <c r="Y21" s="16">
        <f>70+65</f>
        <v>135</v>
      </c>
      <c r="Z21" s="16">
        <f>16+134</f>
        <v>150</v>
      </c>
      <c r="AA21" s="16">
        <v>640</v>
      </c>
      <c r="AB21" s="16">
        <f>210+390</f>
        <v>600</v>
      </c>
      <c r="AC21" s="16">
        <f>160+65</f>
        <v>225</v>
      </c>
      <c r="AD21" s="16">
        <f>16+134</f>
        <v>150</v>
      </c>
      <c r="AE21" s="16">
        <v>640</v>
      </c>
      <c r="AF21" s="16">
        <f>210+320</f>
        <v>530</v>
      </c>
      <c r="AG21" s="16">
        <f>150+59</f>
        <v>209</v>
      </c>
      <c r="AH21" s="16">
        <f>134+16</f>
        <v>150</v>
      </c>
      <c r="AI21" s="16"/>
      <c r="AJ21" s="16">
        <f>140+500</f>
        <v>640</v>
      </c>
    </row>
    <row r="22" spans="1:36" ht="16.5" customHeight="1" x14ac:dyDescent="0.3">
      <c r="A22" s="35"/>
      <c r="B22" s="39" t="s">
        <v>9</v>
      </c>
      <c r="C22" s="40"/>
      <c r="D22" s="8">
        <f t="shared" si="0"/>
        <v>6516</v>
      </c>
      <c r="E22" s="13">
        <f>60+23</f>
        <v>83</v>
      </c>
      <c r="F22" s="13">
        <f>71+90</f>
        <v>161</v>
      </c>
      <c r="G22" s="13">
        <f>205+70</f>
        <v>275</v>
      </c>
      <c r="H22" s="13">
        <f>180+40</f>
        <v>220</v>
      </c>
      <c r="I22" s="13">
        <f>50+23</f>
        <v>73</v>
      </c>
      <c r="J22" s="13">
        <f>27+90</f>
        <v>117</v>
      </c>
      <c r="K22" s="13">
        <f>18+400</f>
        <v>418</v>
      </c>
      <c r="L22" s="13">
        <f>180+75</f>
        <v>255</v>
      </c>
      <c r="M22" s="13">
        <f>40+23</f>
        <v>63</v>
      </c>
      <c r="N22" s="13">
        <f>27+90</f>
        <v>117</v>
      </c>
      <c r="O22" s="13">
        <v>418</v>
      </c>
      <c r="P22" s="13">
        <f>180+70</f>
        <v>250</v>
      </c>
      <c r="Q22" s="13">
        <f>40+23</f>
        <v>63</v>
      </c>
      <c r="R22" s="16">
        <f>27+90</f>
        <v>117</v>
      </c>
      <c r="S22" s="16">
        <v>418</v>
      </c>
      <c r="T22" s="16">
        <v>240</v>
      </c>
      <c r="U22" s="16">
        <f>23+40</f>
        <v>63</v>
      </c>
      <c r="V22" s="16">
        <f>31+90</f>
        <v>121</v>
      </c>
      <c r="W22" s="16">
        <v>79</v>
      </c>
      <c r="X22" s="16">
        <v>240</v>
      </c>
      <c r="Y22" s="16">
        <f>23+40</f>
        <v>63</v>
      </c>
      <c r="Z22" s="16">
        <f>31+90</f>
        <v>121</v>
      </c>
      <c r="AA22" s="16">
        <v>740</v>
      </c>
      <c r="AB22" s="16">
        <f>180+170</f>
        <v>350</v>
      </c>
      <c r="AC22" s="16">
        <v>123</v>
      </c>
      <c r="AD22" s="16">
        <f>90+28</f>
        <v>118</v>
      </c>
      <c r="AE22" s="16">
        <v>740</v>
      </c>
      <c r="AF22" s="16">
        <f>180+80</f>
        <v>260</v>
      </c>
      <c r="AG22" s="16">
        <f>70+22</f>
        <v>92</v>
      </c>
      <c r="AH22" s="16">
        <f>90+28</f>
        <v>118</v>
      </c>
      <c r="AI22" s="16"/>
      <c r="AJ22" s="16">
        <v>740</v>
      </c>
    </row>
    <row r="23" spans="1:36" ht="16.5" customHeight="1" x14ac:dyDescent="0.3">
      <c r="A23" s="36"/>
      <c r="B23" s="39" t="s">
        <v>35</v>
      </c>
      <c r="C23" s="40"/>
      <c r="D23" s="8">
        <f t="shared" si="0"/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ht="16.5" customHeight="1" x14ac:dyDescent="0.3">
      <c r="A24" s="29" t="s">
        <v>4</v>
      </c>
      <c r="B24" s="30"/>
      <c r="C24" s="31"/>
      <c r="D24" s="8">
        <f>E6:E24</f>
        <v>5881</v>
      </c>
      <c r="E24" s="19">
        <f>SUM(E6:E22)</f>
        <v>5881</v>
      </c>
      <c r="F24" s="19">
        <f t="shared" ref="F24:AJ24" si="1">SUM(F6:F22)</f>
        <v>5565</v>
      </c>
      <c r="G24" s="19">
        <f t="shared" si="1"/>
        <v>6910</v>
      </c>
      <c r="H24" s="19">
        <f t="shared" si="1"/>
        <v>4510</v>
      </c>
      <c r="I24" s="19">
        <f t="shared" si="1"/>
        <v>4991</v>
      </c>
      <c r="J24" s="19">
        <f t="shared" si="1"/>
        <v>3469</v>
      </c>
      <c r="K24" s="19">
        <f t="shared" si="1"/>
        <v>3089</v>
      </c>
      <c r="L24" s="19">
        <f t="shared" si="1"/>
        <v>3155</v>
      </c>
      <c r="M24" s="19">
        <f t="shared" si="1"/>
        <v>3338</v>
      </c>
      <c r="N24" s="19">
        <f t="shared" si="1"/>
        <v>4839</v>
      </c>
      <c r="O24" s="19">
        <f t="shared" si="1"/>
        <v>3819</v>
      </c>
      <c r="P24" s="19">
        <f t="shared" si="1"/>
        <v>3300</v>
      </c>
      <c r="Q24" s="19">
        <f t="shared" si="1"/>
        <v>3388</v>
      </c>
      <c r="R24" s="19">
        <f t="shared" si="1"/>
        <v>4905</v>
      </c>
      <c r="S24" s="19">
        <f t="shared" si="1"/>
        <v>4129</v>
      </c>
      <c r="T24" s="19">
        <f t="shared" si="1"/>
        <v>4100</v>
      </c>
      <c r="U24" s="19">
        <f t="shared" si="1"/>
        <v>3448</v>
      </c>
      <c r="V24" s="19">
        <f t="shared" si="1"/>
        <v>3359</v>
      </c>
      <c r="W24" s="19">
        <f t="shared" si="1"/>
        <v>5110</v>
      </c>
      <c r="X24" s="19">
        <f t="shared" si="1"/>
        <v>4050</v>
      </c>
      <c r="Y24" s="19">
        <f t="shared" si="1"/>
        <v>3238</v>
      </c>
      <c r="Z24" s="19">
        <f t="shared" si="1"/>
        <v>3719</v>
      </c>
      <c r="AA24" s="19">
        <f t="shared" si="1"/>
        <v>6024</v>
      </c>
      <c r="AB24" s="19">
        <f t="shared" si="1"/>
        <v>6390</v>
      </c>
      <c r="AC24" s="19">
        <f t="shared" si="1"/>
        <v>3968</v>
      </c>
      <c r="AD24" s="19">
        <f t="shared" si="1"/>
        <v>3006</v>
      </c>
      <c r="AE24" s="19">
        <f t="shared" si="1"/>
        <v>5834</v>
      </c>
      <c r="AF24" s="19">
        <f t="shared" si="1"/>
        <v>4210</v>
      </c>
      <c r="AG24" s="19">
        <f t="shared" si="1"/>
        <v>3336</v>
      </c>
      <c r="AH24" s="19">
        <f t="shared" si="1"/>
        <v>3206</v>
      </c>
      <c r="AI24" s="19">
        <f t="shared" si="1"/>
        <v>0</v>
      </c>
      <c r="AJ24" s="19">
        <f t="shared" si="1"/>
        <v>7634</v>
      </c>
    </row>
    <row r="25" spans="1:36" ht="16.5" hidden="1" customHeight="1" x14ac:dyDescent="0.3">
      <c r="A25" s="34" t="s">
        <v>23</v>
      </c>
      <c r="B25" s="34" t="s">
        <v>0</v>
      </c>
      <c r="C25" s="11" t="s">
        <v>50</v>
      </c>
      <c r="D25" s="8">
        <f t="shared" ref="D25:D46" si="2">SUM(E25:AF25)</f>
        <v>0</v>
      </c>
      <c r="E25" s="13"/>
      <c r="F25" s="13"/>
      <c r="G25" s="1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16.5" hidden="1" customHeight="1" x14ac:dyDescent="0.3">
      <c r="A26" s="35"/>
      <c r="B26" s="35"/>
      <c r="C26" s="11" t="s">
        <v>25</v>
      </c>
      <c r="D26" s="8">
        <f t="shared" si="2"/>
        <v>0</v>
      </c>
      <c r="E26" s="13"/>
      <c r="F26" s="13"/>
      <c r="G26" s="1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ht="16.5" hidden="1" customHeight="1" x14ac:dyDescent="0.3">
      <c r="A27" s="35"/>
      <c r="B27" s="35"/>
      <c r="C27" s="11" t="s">
        <v>34</v>
      </c>
      <c r="D27" s="8">
        <f t="shared" si="2"/>
        <v>0</v>
      </c>
      <c r="E27" s="13"/>
      <c r="F27" s="13"/>
      <c r="G27" s="1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ht="16.5" hidden="1" customHeight="1" x14ac:dyDescent="0.3">
      <c r="A28" s="35"/>
      <c r="B28" s="35"/>
      <c r="C28" s="11" t="s">
        <v>47</v>
      </c>
      <c r="D28" s="8">
        <f t="shared" si="2"/>
        <v>0</v>
      </c>
      <c r="E28" s="13"/>
      <c r="F28" s="13"/>
      <c r="G28" s="1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ht="16.5" hidden="1" customHeight="1" x14ac:dyDescent="0.3">
      <c r="A29" s="35"/>
      <c r="B29" s="35"/>
      <c r="C29" s="11" t="s">
        <v>40</v>
      </c>
      <c r="D29" s="8">
        <f t="shared" si="2"/>
        <v>0</v>
      </c>
      <c r="E29" s="13"/>
      <c r="F29" s="13"/>
      <c r="G29" s="1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ht="16.5" hidden="1" customHeight="1" x14ac:dyDescent="0.3">
      <c r="A30" s="35"/>
      <c r="B30" s="35"/>
      <c r="C30" s="11" t="s">
        <v>27</v>
      </c>
      <c r="D30" s="8">
        <f t="shared" si="2"/>
        <v>0</v>
      </c>
      <c r="E30" s="13"/>
      <c r="F30" s="13"/>
      <c r="G30" s="1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ht="16.5" hidden="1" customHeight="1" x14ac:dyDescent="0.3">
      <c r="A31" s="35"/>
      <c r="B31" s="35"/>
      <c r="C31" s="11" t="s">
        <v>39</v>
      </c>
      <c r="D31" s="8">
        <f t="shared" si="2"/>
        <v>0</v>
      </c>
      <c r="E31" s="13"/>
      <c r="F31" s="13"/>
      <c r="G31" s="1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ht="16.5" hidden="1" customHeight="1" x14ac:dyDescent="0.3">
      <c r="A32" s="35"/>
      <c r="B32" s="35"/>
      <c r="C32" s="11" t="s">
        <v>37</v>
      </c>
      <c r="D32" s="8">
        <f t="shared" si="2"/>
        <v>0</v>
      </c>
      <c r="E32" s="13"/>
      <c r="F32" s="13"/>
      <c r="G32" s="1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ht="16.5" hidden="1" customHeight="1" x14ac:dyDescent="0.3">
      <c r="A33" s="35"/>
      <c r="B33" s="35"/>
      <c r="C33" s="11" t="s">
        <v>11</v>
      </c>
      <c r="D33" s="8">
        <f t="shared" si="2"/>
        <v>0</v>
      </c>
      <c r="E33" s="13"/>
      <c r="F33" s="13"/>
      <c r="G33" s="1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16.5" hidden="1" customHeight="1" x14ac:dyDescent="0.3">
      <c r="A34" s="35"/>
      <c r="B34" s="35"/>
      <c r="C34" s="11" t="s">
        <v>43</v>
      </c>
      <c r="D34" s="8">
        <f t="shared" si="2"/>
        <v>0</v>
      </c>
      <c r="E34" s="13"/>
      <c r="F34" s="13"/>
      <c r="G34" s="1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ht="16.5" hidden="1" customHeight="1" x14ac:dyDescent="0.3">
      <c r="A35" s="35"/>
      <c r="B35" s="36"/>
      <c r="C35" s="11" t="s">
        <v>20</v>
      </c>
      <c r="D35" s="8">
        <f t="shared" si="2"/>
        <v>0</v>
      </c>
      <c r="E35" s="13"/>
      <c r="F35" s="13"/>
      <c r="G35" s="1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ht="16.5" hidden="1" customHeight="1" x14ac:dyDescent="0.3">
      <c r="A36" s="35"/>
      <c r="B36" s="34" t="s">
        <v>12</v>
      </c>
      <c r="C36" s="11" t="s">
        <v>49</v>
      </c>
      <c r="D36" s="8">
        <f t="shared" si="2"/>
        <v>0</v>
      </c>
      <c r="E36" s="13"/>
      <c r="F36" s="13"/>
      <c r="G36" s="1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16.5" hidden="1" customHeight="1" x14ac:dyDescent="0.3">
      <c r="A37" s="35"/>
      <c r="B37" s="35"/>
      <c r="C37" s="11" t="s">
        <v>36</v>
      </c>
      <c r="D37" s="8">
        <f t="shared" si="2"/>
        <v>0</v>
      </c>
      <c r="E37" s="13"/>
      <c r="F37" s="13"/>
      <c r="G37" s="1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6.5" hidden="1" customHeight="1" x14ac:dyDescent="0.3">
      <c r="A38" s="35"/>
      <c r="B38" s="35"/>
      <c r="C38" s="11" t="s">
        <v>16</v>
      </c>
      <c r="D38" s="8">
        <f t="shared" si="2"/>
        <v>0</v>
      </c>
      <c r="E38" s="13"/>
      <c r="F38" s="13"/>
      <c r="G38" s="1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ht="16.5" hidden="1" customHeight="1" x14ac:dyDescent="0.3">
      <c r="A39" s="35"/>
      <c r="B39" s="35"/>
      <c r="C39" s="11" t="s">
        <v>33</v>
      </c>
      <c r="D39" s="8">
        <f t="shared" si="2"/>
        <v>0</v>
      </c>
      <c r="E39" s="13"/>
      <c r="F39" s="13"/>
      <c r="G39" s="1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16.5" hidden="1" customHeight="1" x14ac:dyDescent="0.3">
      <c r="A40" s="35"/>
      <c r="B40" s="36"/>
      <c r="C40" s="11" t="s">
        <v>10</v>
      </c>
      <c r="D40" s="8">
        <f t="shared" si="2"/>
        <v>0</v>
      </c>
      <c r="E40" s="13"/>
      <c r="F40" s="13"/>
      <c r="G40" s="1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16.5" hidden="1" customHeight="1" x14ac:dyDescent="0.3">
      <c r="A41" s="35"/>
      <c r="B41" s="34" t="s">
        <v>8</v>
      </c>
      <c r="C41" s="11" t="s">
        <v>41</v>
      </c>
      <c r="D41" s="8">
        <f t="shared" si="2"/>
        <v>0</v>
      </c>
      <c r="E41" s="13"/>
      <c r="F41" s="13"/>
      <c r="G41" s="1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ht="16.5" hidden="1" customHeight="1" x14ac:dyDescent="0.3">
      <c r="A42" s="35"/>
      <c r="B42" s="35"/>
      <c r="C42" s="11" t="s">
        <v>48</v>
      </c>
      <c r="D42" s="8">
        <f t="shared" si="2"/>
        <v>0</v>
      </c>
      <c r="E42" s="13"/>
      <c r="F42" s="13"/>
      <c r="G42" s="1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16.5" hidden="1" customHeight="1" x14ac:dyDescent="0.3">
      <c r="A43" s="35"/>
      <c r="B43" s="35"/>
      <c r="C43" s="11" t="s">
        <v>45</v>
      </c>
      <c r="D43" s="8">
        <f t="shared" si="2"/>
        <v>0</v>
      </c>
      <c r="E43" s="13"/>
      <c r="F43" s="13"/>
      <c r="G43" s="1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ht="16.5" hidden="1" customHeight="1" x14ac:dyDescent="0.3">
      <c r="A44" s="35"/>
      <c r="B44" s="35"/>
      <c r="C44" s="11" t="s">
        <v>51</v>
      </c>
      <c r="D44" s="8">
        <f t="shared" si="2"/>
        <v>0</v>
      </c>
      <c r="E44" s="13"/>
      <c r="F44" s="13"/>
      <c r="G44" s="1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16.5" hidden="1" customHeight="1" x14ac:dyDescent="0.3">
      <c r="A45" s="35"/>
      <c r="B45" s="35"/>
      <c r="C45" s="11" t="s">
        <v>42</v>
      </c>
      <c r="D45" s="8">
        <f t="shared" si="2"/>
        <v>0</v>
      </c>
      <c r="E45" s="13"/>
      <c r="F45" s="13"/>
      <c r="G45" s="1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6.5" hidden="1" customHeight="1" x14ac:dyDescent="0.3">
      <c r="A46" s="35"/>
      <c r="B46" s="36"/>
      <c r="C46" s="11" t="s">
        <v>29</v>
      </c>
      <c r="D46" s="8">
        <f t="shared" si="2"/>
        <v>0</v>
      </c>
      <c r="E46" s="13"/>
      <c r="F46" s="13"/>
      <c r="G46" s="1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x14ac:dyDescent="0.3">
      <c r="A47" s="35"/>
      <c r="B47" s="34" t="s">
        <v>6</v>
      </c>
      <c r="C47" s="10" t="s">
        <v>32</v>
      </c>
      <c r="D47" s="8">
        <f>SUM(E47:AH47)</f>
        <v>0</v>
      </c>
      <c r="E47" s="13"/>
      <c r="F47" s="13"/>
      <c r="G47" s="2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x14ac:dyDescent="0.3">
      <c r="A48" s="36"/>
      <c r="B48" s="36"/>
      <c r="C48" s="10" t="s">
        <v>14</v>
      </c>
      <c r="D48" s="8">
        <f>SUM(E48:AH48)</f>
        <v>37162</v>
      </c>
      <c r="E48" s="13">
        <f>930+1170</f>
        <v>2100</v>
      </c>
      <c r="F48" s="13">
        <f>630+990</f>
        <v>1620</v>
      </c>
      <c r="G48" s="13">
        <f>896+780</f>
        <v>1676</v>
      </c>
      <c r="H48" s="13">
        <f>150+650</f>
        <v>800</v>
      </c>
      <c r="I48" s="13">
        <f>630+1030</f>
        <v>1660</v>
      </c>
      <c r="J48" s="13">
        <f>630+990</f>
        <v>1620</v>
      </c>
      <c r="K48" s="13">
        <f>496+250</f>
        <v>746</v>
      </c>
      <c r="L48" s="13">
        <f>150+360</f>
        <v>510</v>
      </c>
      <c r="M48" s="13">
        <f>410+1010</f>
        <v>1420</v>
      </c>
      <c r="N48" s="13">
        <f>630+990</f>
        <v>1620</v>
      </c>
      <c r="O48" s="13">
        <f>496+160</f>
        <v>656</v>
      </c>
      <c r="P48" s="13">
        <f>150+480</f>
        <v>630</v>
      </c>
      <c r="Q48" s="13">
        <f>480+1020</f>
        <v>1500</v>
      </c>
      <c r="R48" s="16">
        <f>600+990</f>
        <v>1590</v>
      </c>
      <c r="S48" s="16">
        <f>496+150</f>
        <v>646</v>
      </c>
      <c r="T48" s="16">
        <f>150+800</f>
        <v>950</v>
      </c>
      <c r="U48" s="16">
        <f>390+1040</f>
        <v>1430</v>
      </c>
      <c r="V48" s="16">
        <f>600+770</f>
        <v>1370</v>
      </c>
      <c r="W48" s="18">
        <f>496+720</f>
        <v>1216</v>
      </c>
      <c r="X48" s="16">
        <f>150+850</f>
        <v>1000</v>
      </c>
      <c r="Y48" s="16">
        <f>280+1040</f>
        <v>1320</v>
      </c>
      <c r="Z48" s="16">
        <f>600+770</f>
        <v>1370</v>
      </c>
      <c r="AA48" s="16">
        <f>496+250</f>
        <v>746</v>
      </c>
      <c r="AB48" s="16">
        <f>250+1400</f>
        <v>1650</v>
      </c>
      <c r="AC48" s="16">
        <f>580+1040</f>
        <v>1620</v>
      </c>
      <c r="AD48" s="16">
        <f>600+770</f>
        <v>1370</v>
      </c>
      <c r="AE48" s="16">
        <f>496+250</f>
        <v>746</v>
      </c>
      <c r="AF48" s="16">
        <f>250+550</f>
        <v>800</v>
      </c>
      <c r="AG48" s="16">
        <f>380+1030</f>
        <v>1410</v>
      </c>
      <c r="AH48" s="16">
        <f>600+770</f>
        <v>1370</v>
      </c>
      <c r="AI48" s="16"/>
      <c r="AJ48" s="16">
        <f>1318+550</f>
        <v>1868</v>
      </c>
    </row>
    <row r="49" spans="1:36" ht="16.5" customHeight="1" x14ac:dyDescent="0.3">
      <c r="A49" s="29" t="s">
        <v>4</v>
      </c>
      <c r="B49" s="30"/>
      <c r="C49" s="31"/>
      <c r="D49" s="8">
        <f>SUM(E49:AH49)</f>
        <v>37162</v>
      </c>
      <c r="E49" s="21">
        <f>SUM(E48)</f>
        <v>2100</v>
      </c>
      <c r="F49" s="21">
        <f t="shared" ref="F49:S49" si="3">SUM(F48)</f>
        <v>1620</v>
      </c>
      <c r="G49" s="21">
        <f t="shared" si="3"/>
        <v>1676</v>
      </c>
      <c r="H49" s="21">
        <f t="shared" si="3"/>
        <v>800</v>
      </c>
      <c r="I49" s="21">
        <f t="shared" si="3"/>
        <v>1660</v>
      </c>
      <c r="J49" s="21">
        <f t="shared" si="3"/>
        <v>1620</v>
      </c>
      <c r="K49" s="21">
        <f t="shared" si="3"/>
        <v>746</v>
      </c>
      <c r="L49" s="21">
        <f t="shared" si="3"/>
        <v>510</v>
      </c>
      <c r="M49" s="21">
        <f t="shared" si="3"/>
        <v>1420</v>
      </c>
      <c r="N49" s="21">
        <f t="shared" si="3"/>
        <v>1620</v>
      </c>
      <c r="O49" s="21">
        <f t="shared" si="3"/>
        <v>656</v>
      </c>
      <c r="P49" s="21">
        <f t="shared" si="3"/>
        <v>630</v>
      </c>
      <c r="Q49" s="21">
        <f t="shared" si="3"/>
        <v>1500</v>
      </c>
      <c r="R49" s="21">
        <f t="shared" si="3"/>
        <v>1590</v>
      </c>
      <c r="S49" s="21">
        <f t="shared" si="3"/>
        <v>646</v>
      </c>
      <c r="T49" s="21">
        <f t="shared" ref="T49" si="4">SUM(T48)</f>
        <v>950</v>
      </c>
      <c r="U49" s="21">
        <f t="shared" ref="U49" si="5">SUM(U48)</f>
        <v>1430</v>
      </c>
      <c r="V49" s="21">
        <f t="shared" ref="V49" si="6">SUM(V48)</f>
        <v>1370</v>
      </c>
      <c r="W49" s="21">
        <f t="shared" ref="W49" si="7">SUM(W48)</f>
        <v>1216</v>
      </c>
      <c r="X49" s="21">
        <f t="shared" ref="X49" si="8">SUM(X48)</f>
        <v>1000</v>
      </c>
      <c r="Y49" s="21">
        <f t="shared" ref="Y49" si="9">SUM(Y48)</f>
        <v>1320</v>
      </c>
      <c r="Z49" s="21">
        <f t="shared" ref="Z49" si="10">SUM(Z48)</f>
        <v>1370</v>
      </c>
      <c r="AA49" s="21">
        <f t="shared" ref="AA49" si="11">SUM(AA48)</f>
        <v>746</v>
      </c>
      <c r="AB49" s="21">
        <f t="shared" ref="AB49" si="12">SUM(AB48)</f>
        <v>1650</v>
      </c>
      <c r="AC49" s="21">
        <f t="shared" ref="AC49" si="13">SUM(AC48)</f>
        <v>1620</v>
      </c>
      <c r="AD49" s="21">
        <f t="shared" ref="AD49" si="14">SUM(AD48)</f>
        <v>1370</v>
      </c>
      <c r="AE49" s="21">
        <f t="shared" ref="AE49" si="15">SUM(AE48)</f>
        <v>746</v>
      </c>
      <c r="AF49" s="21">
        <f t="shared" ref="AF49" si="16">SUM(AF48)</f>
        <v>800</v>
      </c>
      <c r="AG49" s="21">
        <f t="shared" ref="AG49" si="17">SUM(AG48)</f>
        <v>1410</v>
      </c>
      <c r="AH49" s="21">
        <f t="shared" ref="AH49" si="18">SUM(AH48)</f>
        <v>1370</v>
      </c>
      <c r="AI49" s="21">
        <f t="shared" ref="AI49" si="19">SUM(AI48)</f>
        <v>0</v>
      </c>
      <c r="AJ49" s="21">
        <f t="shared" ref="AJ49" si="20">SUM(AJ48)</f>
        <v>1868</v>
      </c>
    </row>
    <row r="50" spans="1:36" ht="16.5" customHeight="1" x14ac:dyDescent="0.3">
      <c r="A50" s="41" t="s">
        <v>53</v>
      </c>
      <c r="B50" s="42"/>
      <c r="C50" s="43"/>
      <c r="D50" s="9">
        <f>SUM(E50:AH50)</f>
        <v>165448</v>
      </c>
      <c r="E50" s="22">
        <f>SUM(E24:E48)</f>
        <v>7981</v>
      </c>
      <c r="F50" s="22">
        <f t="shared" ref="F50:AJ50" si="21">SUM(F24:F48)</f>
        <v>7185</v>
      </c>
      <c r="G50" s="22">
        <f t="shared" si="21"/>
        <v>8586</v>
      </c>
      <c r="H50" s="22">
        <f t="shared" si="21"/>
        <v>5310</v>
      </c>
      <c r="I50" s="22">
        <f t="shared" si="21"/>
        <v>6651</v>
      </c>
      <c r="J50" s="22">
        <f t="shared" si="21"/>
        <v>5089</v>
      </c>
      <c r="K50" s="22">
        <f t="shared" si="21"/>
        <v>3835</v>
      </c>
      <c r="L50" s="22">
        <f t="shared" si="21"/>
        <v>3665</v>
      </c>
      <c r="M50" s="22">
        <f t="shared" si="21"/>
        <v>4758</v>
      </c>
      <c r="N50" s="22">
        <f t="shared" si="21"/>
        <v>6459</v>
      </c>
      <c r="O50" s="22">
        <f t="shared" si="21"/>
        <v>4475</v>
      </c>
      <c r="P50" s="22">
        <f t="shared" si="21"/>
        <v>3930</v>
      </c>
      <c r="Q50" s="22">
        <f t="shared" si="21"/>
        <v>4888</v>
      </c>
      <c r="R50" s="22">
        <f t="shared" si="21"/>
        <v>6495</v>
      </c>
      <c r="S50" s="22">
        <f t="shared" si="21"/>
        <v>4775</v>
      </c>
      <c r="T50" s="22">
        <f t="shared" si="21"/>
        <v>5050</v>
      </c>
      <c r="U50" s="22">
        <f t="shared" si="21"/>
        <v>4878</v>
      </c>
      <c r="V50" s="22">
        <f t="shared" si="21"/>
        <v>4729</v>
      </c>
      <c r="W50" s="22">
        <f t="shared" si="21"/>
        <v>6326</v>
      </c>
      <c r="X50" s="22">
        <f t="shared" si="21"/>
        <v>5050</v>
      </c>
      <c r="Y50" s="22">
        <f t="shared" si="21"/>
        <v>4558</v>
      </c>
      <c r="Z50" s="22">
        <f t="shared" si="21"/>
        <v>5089</v>
      </c>
      <c r="AA50" s="22">
        <f t="shared" si="21"/>
        <v>6770</v>
      </c>
      <c r="AB50" s="22">
        <f t="shared" si="21"/>
        <v>8040</v>
      </c>
      <c r="AC50" s="22">
        <f t="shared" si="21"/>
        <v>5588</v>
      </c>
      <c r="AD50" s="22">
        <f t="shared" si="21"/>
        <v>4376</v>
      </c>
      <c r="AE50" s="22">
        <f t="shared" si="21"/>
        <v>6580</v>
      </c>
      <c r="AF50" s="22">
        <f t="shared" si="21"/>
        <v>5010</v>
      </c>
      <c r="AG50" s="22">
        <f t="shared" si="21"/>
        <v>4746</v>
      </c>
      <c r="AH50" s="22">
        <f t="shared" si="21"/>
        <v>4576</v>
      </c>
      <c r="AI50" s="22">
        <f t="shared" si="21"/>
        <v>0</v>
      </c>
      <c r="AJ50" s="22">
        <f t="shared" si="21"/>
        <v>9502</v>
      </c>
    </row>
    <row r="51" spans="1:36" x14ac:dyDescent="0.3">
      <c r="N51" s="23">
        <f>SUM(H50:N50)</f>
        <v>35767</v>
      </c>
      <c r="U51" s="23">
        <f>SUM(O50:U50)</f>
        <v>34491</v>
      </c>
      <c r="AB51" s="23">
        <f>SUM(V50:AB50)</f>
        <v>40562</v>
      </c>
      <c r="AJ51" s="23">
        <f>SUM(AD50:AJ50)</f>
        <v>34790</v>
      </c>
    </row>
  </sheetData>
  <mergeCells count="32">
    <mergeCell ref="B19:C19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  <mergeCell ref="B14:C14"/>
    <mergeCell ref="B15:C15"/>
    <mergeCell ref="B16:C16"/>
    <mergeCell ref="B17:C17"/>
    <mergeCell ref="B18:C18"/>
    <mergeCell ref="B20:C20"/>
    <mergeCell ref="D1:O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A4" zoomScaleNormal="100" workbookViewId="0">
      <selection activeCell="G32" sqref="G32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25" style="44" bestFit="1" customWidth="1"/>
    <col min="5" max="16384" width="9" style="44"/>
  </cols>
  <sheetData>
    <row r="1" spans="1:40" ht="26.25" x14ac:dyDescent="0.3">
      <c r="A1" s="94" t="s">
        <v>201</v>
      </c>
      <c r="B1" s="94"/>
      <c r="C1" s="94"/>
      <c r="D1" s="94"/>
      <c r="I1" s="95"/>
      <c r="J1" s="95"/>
      <c r="K1" s="95"/>
      <c r="L1" s="95"/>
      <c r="M1" s="95"/>
      <c r="N1" s="95"/>
      <c r="O1" s="95"/>
    </row>
    <row r="2" spans="1:40" ht="26.25" x14ac:dyDescent="0.3">
      <c r="A2" s="47"/>
      <c r="B2" s="48"/>
      <c r="C2" s="48"/>
      <c r="D2" s="96"/>
      <c r="F2" s="48"/>
      <c r="G2" s="48"/>
      <c r="H2" s="48"/>
      <c r="I2" s="49"/>
      <c r="J2" s="49"/>
      <c r="K2" s="49"/>
      <c r="L2" s="49"/>
      <c r="M2" s="49"/>
      <c r="N2" s="49"/>
      <c r="O2" s="49"/>
      <c r="P2" s="48"/>
      <c r="Q2" s="48"/>
      <c r="R2" s="48"/>
      <c r="S2" s="48"/>
      <c r="T2" s="48"/>
      <c r="V2" s="48"/>
    </row>
    <row r="3" spans="1:40" x14ac:dyDescent="0.3">
      <c r="A3" s="97" t="s">
        <v>19</v>
      </c>
      <c r="B3" s="97"/>
      <c r="C3" s="97"/>
      <c r="D3" s="98" t="s">
        <v>5</v>
      </c>
      <c r="E3" s="125" t="s">
        <v>202</v>
      </c>
      <c r="F3" s="99">
        <v>1</v>
      </c>
      <c r="G3" s="99">
        <v>2</v>
      </c>
      <c r="H3" s="99">
        <v>3</v>
      </c>
      <c r="I3" s="99">
        <v>4</v>
      </c>
      <c r="J3" s="99">
        <v>5</v>
      </c>
      <c r="K3" s="99">
        <v>6</v>
      </c>
      <c r="L3" s="99">
        <v>7</v>
      </c>
      <c r="M3" s="125" t="s">
        <v>202</v>
      </c>
      <c r="N3" s="99">
        <v>8</v>
      </c>
      <c r="O3" s="99">
        <v>9</v>
      </c>
      <c r="P3" s="99">
        <v>10</v>
      </c>
      <c r="Q3" s="99">
        <v>11</v>
      </c>
      <c r="R3" s="99">
        <v>12</v>
      </c>
      <c r="S3" s="99">
        <v>13</v>
      </c>
      <c r="T3" s="99">
        <v>14</v>
      </c>
      <c r="U3" s="125" t="s">
        <v>202</v>
      </c>
      <c r="V3" s="99">
        <v>15</v>
      </c>
      <c r="W3" s="99">
        <v>16</v>
      </c>
      <c r="X3" s="99">
        <v>17</v>
      </c>
      <c r="Y3" s="99">
        <v>18</v>
      </c>
      <c r="Z3" s="99">
        <v>19</v>
      </c>
      <c r="AA3" s="99">
        <v>20</v>
      </c>
      <c r="AB3" s="99">
        <v>21</v>
      </c>
      <c r="AC3" s="125" t="s">
        <v>202</v>
      </c>
      <c r="AD3" s="99">
        <v>22</v>
      </c>
      <c r="AE3" s="99">
        <v>23</v>
      </c>
      <c r="AF3" s="99">
        <v>24</v>
      </c>
      <c r="AG3" s="99">
        <v>25</v>
      </c>
      <c r="AH3" s="99">
        <v>26</v>
      </c>
      <c r="AI3" s="99">
        <v>27</v>
      </c>
      <c r="AJ3" s="99">
        <v>28</v>
      </c>
      <c r="AK3" s="125" t="s">
        <v>202</v>
      </c>
      <c r="AL3" s="99">
        <v>29</v>
      </c>
      <c r="AM3" s="99">
        <v>30</v>
      </c>
      <c r="AN3" s="99">
        <v>31</v>
      </c>
    </row>
    <row r="4" spans="1:40" x14ac:dyDescent="0.3">
      <c r="A4" s="97" t="s">
        <v>18</v>
      </c>
      <c r="B4" s="97"/>
      <c r="C4" s="97"/>
      <c r="D4" s="98"/>
      <c r="E4" s="125"/>
      <c r="F4" s="56" t="s">
        <v>203</v>
      </c>
      <c r="G4" s="56" t="s">
        <v>60</v>
      </c>
      <c r="H4" s="56" t="s">
        <v>54</v>
      </c>
      <c r="I4" s="56" t="s">
        <v>55</v>
      </c>
      <c r="J4" s="56" t="s">
        <v>56</v>
      </c>
      <c r="K4" s="56" t="s">
        <v>57</v>
      </c>
      <c r="L4" s="56" t="s">
        <v>58</v>
      </c>
      <c r="M4" s="125"/>
      <c r="N4" s="56" t="s">
        <v>203</v>
      </c>
      <c r="O4" s="56" t="s">
        <v>60</v>
      </c>
      <c r="P4" s="56" t="s">
        <v>54</v>
      </c>
      <c r="Q4" s="56" t="s">
        <v>55</v>
      </c>
      <c r="R4" s="56" t="s">
        <v>56</v>
      </c>
      <c r="S4" s="56" t="s">
        <v>57</v>
      </c>
      <c r="T4" s="56" t="s">
        <v>58</v>
      </c>
      <c r="U4" s="125"/>
      <c r="V4" s="56" t="s">
        <v>203</v>
      </c>
      <c r="W4" s="56" t="s">
        <v>60</v>
      </c>
      <c r="X4" s="56" t="s">
        <v>54</v>
      </c>
      <c r="Y4" s="56" t="s">
        <v>55</v>
      </c>
      <c r="Z4" s="56" t="s">
        <v>56</v>
      </c>
      <c r="AA4" s="56" t="s">
        <v>57</v>
      </c>
      <c r="AB4" s="56" t="s">
        <v>58</v>
      </c>
      <c r="AC4" s="125"/>
      <c r="AD4" s="56" t="s">
        <v>203</v>
      </c>
      <c r="AE4" s="56" t="s">
        <v>60</v>
      </c>
      <c r="AF4" s="56" t="s">
        <v>54</v>
      </c>
      <c r="AG4" s="56" t="s">
        <v>55</v>
      </c>
      <c r="AH4" s="56" t="s">
        <v>56</v>
      </c>
      <c r="AI4" s="56" t="s">
        <v>57</v>
      </c>
      <c r="AJ4" s="56" t="s">
        <v>58</v>
      </c>
      <c r="AK4" s="125"/>
      <c r="AL4" s="56" t="s">
        <v>203</v>
      </c>
      <c r="AM4" s="56" t="s">
        <v>60</v>
      </c>
      <c r="AN4" s="56" t="s">
        <v>54</v>
      </c>
    </row>
    <row r="5" spans="1:40" x14ac:dyDescent="0.3">
      <c r="A5" s="100" t="s">
        <v>31</v>
      </c>
      <c r="B5" s="100" t="s">
        <v>30</v>
      </c>
      <c r="C5" s="100"/>
      <c r="D5" s="101"/>
      <c r="E5" s="126"/>
      <c r="F5" s="102" t="s">
        <v>204</v>
      </c>
      <c r="G5" s="61" t="s">
        <v>204</v>
      </c>
      <c r="H5" s="61" t="s">
        <v>111</v>
      </c>
      <c r="I5" s="61" t="s">
        <v>205</v>
      </c>
      <c r="J5" s="61" t="s">
        <v>206</v>
      </c>
      <c r="K5" s="61" t="s">
        <v>205</v>
      </c>
      <c r="L5" s="61" t="s">
        <v>206</v>
      </c>
      <c r="M5" s="126"/>
      <c r="N5" s="61" t="s">
        <v>205</v>
      </c>
      <c r="O5" s="61" t="s">
        <v>205</v>
      </c>
      <c r="P5" s="61" t="s">
        <v>207</v>
      </c>
      <c r="Q5" s="61" t="s">
        <v>206</v>
      </c>
      <c r="R5" s="61" t="s">
        <v>147</v>
      </c>
      <c r="S5" s="61" t="s">
        <v>204</v>
      </c>
      <c r="T5" s="61" t="s">
        <v>204</v>
      </c>
      <c r="U5" s="126"/>
      <c r="V5" s="61" t="s">
        <v>206</v>
      </c>
      <c r="W5" s="102" t="s">
        <v>204</v>
      </c>
      <c r="X5" s="102" t="s">
        <v>204</v>
      </c>
      <c r="Y5" s="102" t="s">
        <v>208</v>
      </c>
      <c r="Z5" s="102" t="s">
        <v>204</v>
      </c>
      <c r="AA5" s="141" t="s">
        <v>111</v>
      </c>
      <c r="AB5" s="102" t="s">
        <v>111</v>
      </c>
      <c r="AC5" s="126"/>
      <c r="AD5" s="102" t="s">
        <v>204</v>
      </c>
      <c r="AE5" s="102" t="s">
        <v>204</v>
      </c>
      <c r="AF5" s="102" t="s">
        <v>204</v>
      </c>
      <c r="AG5" s="102" t="s">
        <v>204</v>
      </c>
      <c r="AH5" s="102" t="s">
        <v>111</v>
      </c>
      <c r="AI5" s="102" t="s">
        <v>204</v>
      </c>
      <c r="AJ5" s="102" t="s">
        <v>204</v>
      </c>
      <c r="AK5" s="126"/>
      <c r="AL5" s="102" t="s">
        <v>204</v>
      </c>
      <c r="AM5" s="102" t="s">
        <v>111</v>
      </c>
      <c r="AN5" s="102" t="s">
        <v>208</v>
      </c>
    </row>
    <row r="6" spans="1:40" x14ac:dyDescent="0.3">
      <c r="A6" s="100"/>
      <c r="B6" s="103" t="s">
        <v>21</v>
      </c>
      <c r="C6" s="103"/>
      <c r="D6" s="104">
        <f>SUM(F6:L6,N6:T6,V6:AB6,AD6:AJ6,AL6:AN6)</f>
        <v>3280</v>
      </c>
      <c r="E6" s="127">
        <f t="shared" ref="E6:E24" si="0">SUM(F6:L6)</f>
        <v>640</v>
      </c>
      <c r="F6" s="74">
        <v>210</v>
      </c>
      <c r="G6" s="74">
        <v>0</v>
      </c>
      <c r="H6" s="74">
        <v>150</v>
      </c>
      <c r="I6" s="74">
        <v>80</v>
      </c>
      <c r="J6" s="74">
        <v>90</v>
      </c>
      <c r="K6" s="74">
        <v>0</v>
      </c>
      <c r="L6" s="74">
        <v>110</v>
      </c>
      <c r="M6" s="127">
        <f t="shared" ref="M6:M24" si="1">SUM(N6:T6)</f>
        <v>720</v>
      </c>
      <c r="N6" s="74">
        <v>80</v>
      </c>
      <c r="O6" s="74">
        <v>200</v>
      </c>
      <c r="P6" s="74">
        <v>0</v>
      </c>
      <c r="Q6" s="128">
        <v>100</v>
      </c>
      <c r="R6" s="74">
        <v>50</v>
      </c>
      <c r="S6" s="74">
        <v>290</v>
      </c>
      <c r="T6" s="70">
        <v>0</v>
      </c>
      <c r="U6" s="127">
        <f t="shared" ref="U6:U24" si="2">SUM(V6:AB6)</f>
        <v>840</v>
      </c>
      <c r="V6" s="70">
        <v>100</v>
      </c>
      <c r="W6" s="129">
        <v>50</v>
      </c>
      <c r="X6" s="129">
        <v>270</v>
      </c>
      <c r="Y6" s="74">
        <v>0</v>
      </c>
      <c r="Z6" s="129">
        <v>110</v>
      </c>
      <c r="AA6" s="129">
        <v>40</v>
      </c>
      <c r="AB6" s="129">
        <v>270</v>
      </c>
      <c r="AC6" s="127">
        <f t="shared" ref="AC6:AC24" si="3">SUM(AD6:AJ6)</f>
        <v>700</v>
      </c>
      <c r="AD6" s="74">
        <v>0</v>
      </c>
      <c r="AE6" s="129">
        <v>210</v>
      </c>
      <c r="AF6" s="129">
        <v>60</v>
      </c>
      <c r="AG6" s="129">
        <v>270</v>
      </c>
      <c r="AH6" s="74">
        <v>0</v>
      </c>
      <c r="AI6" s="129">
        <v>110</v>
      </c>
      <c r="AJ6" s="129">
        <v>50</v>
      </c>
      <c r="AK6" s="127">
        <f t="shared" ref="AK6:AK24" si="4">SUM(AL6:AN6)</f>
        <v>380</v>
      </c>
      <c r="AL6" s="129">
        <v>270</v>
      </c>
      <c r="AM6" s="74">
        <v>0</v>
      </c>
      <c r="AN6" s="129">
        <v>110</v>
      </c>
    </row>
    <row r="7" spans="1:40" x14ac:dyDescent="0.3">
      <c r="A7" s="100"/>
      <c r="B7" s="103" t="s">
        <v>22</v>
      </c>
      <c r="C7" s="103"/>
      <c r="D7" s="104">
        <f t="shared" ref="D7:D24" si="5">SUM(F7:L7,N7:T7,V7:AB7,AD7:AJ7,AL7:AN7)</f>
        <v>50422</v>
      </c>
      <c r="E7" s="127">
        <f t="shared" si="0"/>
        <v>12630</v>
      </c>
      <c r="F7" s="74">
        <v>1420</v>
      </c>
      <c r="G7" s="74">
        <v>3000</v>
      </c>
      <c r="H7" s="74">
        <v>2200</v>
      </c>
      <c r="I7" s="74">
        <v>2190</v>
      </c>
      <c r="J7" s="74">
        <v>1420</v>
      </c>
      <c r="K7" s="74">
        <v>1000</v>
      </c>
      <c r="L7" s="74">
        <v>1400</v>
      </c>
      <c r="M7" s="127">
        <f t="shared" si="1"/>
        <v>10467</v>
      </c>
      <c r="N7" s="74">
        <v>1047</v>
      </c>
      <c r="O7" s="74">
        <v>1420</v>
      </c>
      <c r="P7" s="74">
        <v>910</v>
      </c>
      <c r="Q7" s="74">
        <v>1900</v>
      </c>
      <c r="R7" s="74">
        <v>2020</v>
      </c>
      <c r="S7" s="74">
        <v>1420</v>
      </c>
      <c r="T7" s="70">
        <f>400+1350</f>
        <v>1750</v>
      </c>
      <c r="U7" s="127">
        <f t="shared" si="2"/>
        <v>10952</v>
      </c>
      <c r="V7" s="70">
        <v>1250</v>
      </c>
      <c r="W7" s="129">
        <v>1810</v>
      </c>
      <c r="X7" s="129">
        <v>1420</v>
      </c>
      <c r="Y7" s="130">
        <v>1812</v>
      </c>
      <c r="Z7" s="129">
        <v>1430</v>
      </c>
      <c r="AA7" s="129">
        <v>1810</v>
      </c>
      <c r="AB7" s="129">
        <v>1420</v>
      </c>
      <c r="AC7" s="127">
        <f t="shared" si="3"/>
        <v>11324</v>
      </c>
      <c r="AD7" s="129">
        <v>1502</v>
      </c>
      <c r="AE7" s="129">
        <v>1680</v>
      </c>
      <c r="AF7" s="129">
        <v>1850</v>
      </c>
      <c r="AG7" s="129">
        <v>1420</v>
      </c>
      <c r="AH7" s="129">
        <v>1202</v>
      </c>
      <c r="AI7" s="129">
        <v>1600</v>
      </c>
      <c r="AJ7" s="129">
        <v>2070</v>
      </c>
      <c r="AK7" s="127">
        <f t="shared" si="4"/>
        <v>5049</v>
      </c>
      <c r="AL7" s="129">
        <v>1420</v>
      </c>
      <c r="AM7" s="129">
        <v>1819</v>
      </c>
      <c r="AN7" s="129">
        <v>1810</v>
      </c>
    </row>
    <row r="8" spans="1:40" x14ac:dyDescent="0.3">
      <c r="A8" s="100"/>
      <c r="B8" s="103" t="s">
        <v>24</v>
      </c>
      <c r="C8" s="103"/>
      <c r="D8" s="104">
        <f t="shared" si="5"/>
        <v>50290</v>
      </c>
      <c r="E8" s="127">
        <f t="shared" si="0"/>
        <v>12300</v>
      </c>
      <c r="F8" s="74">
        <v>1220</v>
      </c>
      <c r="G8" s="74">
        <v>3000</v>
      </c>
      <c r="H8" s="74">
        <v>2320</v>
      </c>
      <c r="I8" s="74">
        <v>1500</v>
      </c>
      <c r="J8" s="74">
        <v>1480</v>
      </c>
      <c r="K8" s="74">
        <v>1500</v>
      </c>
      <c r="L8" s="74">
        <v>1280</v>
      </c>
      <c r="M8" s="127">
        <f t="shared" si="1"/>
        <v>11670</v>
      </c>
      <c r="N8" s="74">
        <v>1200</v>
      </c>
      <c r="O8" s="74">
        <v>2160</v>
      </c>
      <c r="P8" s="74">
        <v>1500</v>
      </c>
      <c r="Q8" s="74">
        <v>1680</v>
      </c>
      <c r="R8" s="74">
        <v>1300</v>
      </c>
      <c r="S8" s="74">
        <v>2330</v>
      </c>
      <c r="T8" s="70">
        <v>1500</v>
      </c>
      <c r="U8" s="127">
        <f t="shared" si="2"/>
        <v>10430</v>
      </c>
      <c r="V8" s="70">
        <v>1680</v>
      </c>
      <c r="W8" s="130">
        <v>1300</v>
      </c>
      <c r="X8" s="130">
        <v>1730</v>
      </c>
      <c r="Y8" s="130">
        <v>1500</v>
      </c>
      <c r="Z8" s="130">
        <v>1680</v>
      </c>
      <c r="AA8" s="130">
        <v>880</v>
      </c>
      <c r="AB8" s="130">
        <v>1660</v>
      </c>
      <c r="AC8" s="127">
        <f t="shared" si="3"/>
        <v>11040</v>
      </c>
      <c r="AD8" s="130">
        <v>1500</v>
      </c>
      <c r="AE8" s="130">
        <v>1680</v>
      </c>
      <c r="AF8" s="130">
        <v>1880</v>
      </c>
      <c r="AG8" s="130">
        <v>1460</v>
      </c>
      <c r="AH8" s="130">
        <v>1500</v>
      </c>
      <c r="AI8" s="130">
        <v>1680</v>
      </c>
      <c r="AJ8" s="130">
        <v>1340</v>
      </c>
      <c r="AK8" s="127">
        <f t="shared" si="4"/>
        <v>4850</v>
      </c>
      <c r="AL8" s="129">
        <v>1670</v>
      </c>
      <c r="AM8" s="129">
        <v>1500</v>
      </c>
      <c r="AN8" s="129">
        <v>1680</v>
      </c>
    </row>
    <row r="9" spans="1:40" x14ac:dyDescent="0.3">
      <c r="A9" s="100"/>
      <c r="B9" s="103" t="s">
        <v>28</v>
      </c>
      <c r="C9" s="103"/>
      <c r="D9" s="104">
        <f t="shared" si="5"/>
        <v>8080</v>
      </c>
      <c r="E9" s="127">
        <f t="shared" si="0"/>
        <v>1480</v>
      </c>
      <c r="F9" s="74">
        <f>90+50</f>
        <v>140</v>
      </c>
      <c r="G9" s="74">
        <f>170+50</f>
        <v>220</v>
      </c>
      <c r="H9" s="74">
        <f>151+110</f>
        <v>261</v>
      </c>
      <c r="I9" s="90">
        <v>330</v>
      </c>
      <c r="J9" s="74">
        <f>80+50</f>
        <v>130</v>
      </c>
      <c r="K9" s="74">
        <v>110</v>
      </c>
      <c r="L9" s="74">
        <f>179+110</f>
        <v>289</v>
      </c>
      <c r="M9" s="127">
        <f t="shared" si="1"/>
        <v>1421</v>
      </c>
      <c r="N9" s="74">
        <v>290</v>
      </c>
      <c r="O9" s="74">
        <f>130+50</f>
        <v>180</v>
      </c>
      <c r="P9" s="74">
        <v>82</v>
      </c>
      <c r="Q9" s="74">
        <f>189+110</f>
        <v>299</v>
      </c>
      <c r="R9" s="74">
        <f>190+70</f>
        <v>260</v>
      </c>
      <c r="S9" s="74">
        <v>180</v>
      </c>
      <c r="T9" s="70">
        <f>50+80</f>
        <v>130</v>
      </c>
      <c r="U9" s="127">
        <f t="shared" si="2"/>
        <v>1988</v>
      </c>
      <c r="V9" s="70">
        <f>110+254</f>
        <v>364</v>
      </c>
      <c r="W9" s="130">
        <v>310</v>
      </c>
      <c r="X9" s="130">
        <v>190</v>
      </c>
      <c r="Y9" s="130">
        <v>265</v>
      </c>
      <c r="Z9" s="130">
        <v>379</v>
      </c>
      <c r="AA9" s="130">
        <v>280</v>
      </c>
      <c r="AB9" s="130">
        <v>200</v>
      </c>
      <c r="AC9" s="127">
        <f t="shared" si="3"/>
        <v>2702</v>
      </c>
      <c r="AD9" s="130">
        <v>275</v>
      </c>
      <c r="AE9" s="130">
        <v>629</v>
      </c>
      <c r="AF9" s="130">
        <v>360</v>
      </c>
      <c r="AG9" s="130">
        <v>200</v>
      </c>
      <c r="AH9" s="130">
        <v>229</v>
      </c>
      <c r="AI9" s="130">
        <v>719</v>
      </c>
      <c r="AJ9" s="130">
        <v>290</v>
      </c>
      <c r="AK9" s="127">
        <f t="shared" si="4"/>
        <v>489</v>
      </c>
      <c r="AL9" s="130">
        <v>150</v>
      </c>
      <c r="AM9" s="130">
        <v>100</v>
      </c>
      <c r="AN9" s="130">
        <v>239</v>
      </c>
    </row>
    <row r="10" spans="1:40" x14ac:dyDescent="0.3">
      <c r="A10" s="100"/>
      <c r="B10" s="107" t="s">
        <v>17</v>
      </c>
      <c r="C10" s="107"/>
      <c r="D10" s="104">
        <f t="shared" si="5"/>
        <v>0</v>
      </c>
      <c r="E10" s="127">
        <f t="shared" si="0"/>
        <v>0</v>
      </c>
      <c r="F10" s="130"/>
      <c r="G10" s="74"/>
      <c r="H10" s="130"/>
      <c r="I10" s="130"/>
      <c r="J10" s="74"/>
      <c r="K10" s="130"/>
      <c r="L10" s="130"/>
      <c r="M10" s="127">
        <f t="shared" si="1"/>
        <v>0</v>
      </c>
      <c r="N10" s="130"/>
      <c r="O10" s="130"/>
      <c r="P10" s="74"/>
      <c r="Q10" s="130"/>
      <c r="R10" s="130"/>
      <c r="S10" s="130"/>
      <c r="T10" s="130"/>
      <c r="U10" s="127">
        <f t="shared" si="2"/>
        <v>0</v>
      </c>
      <c r="V10" s="130"/>
      <c r="W10" s="130"/>
      <c r="X10" s="130"/>
      <c r="Y10" s="130"/>
      <c r="Z10" s="130"/>
      <c r="AA10" s="130"/>
      <c r="AB10" s="130"/>
      <c r="AC10" s="127">
        <f t="shared" si="3"/>
        <v>0</v>
      </c>
      <c r="AD10" s="130"/>
      <c r="AE10" s="130"/>
      <c r="AF10" s="130"/>
      <c r="AG10" s="130"/>
      <c r="AH10" s="130"/>
      <c r="AI10" s="130"/>
      <c r="AJ10" s="130"/>
      <c r="AK10" s="127">
        <f t="shared" si="4"/>
        <v>0</v>
      </c>
      <c r="AL10" s="130"/>
      <c r="AM10" s="130"/>
      <c r="AN10" s="130"/>
    </row>
    <row r="11" spans="1:40" x14ac:dyDescent="0.3">
      <c r="A11" s="100"/>
      <c r="B11" s="107" t="s">
        <v>38</v>
      </c>
      <c r="C11" s="107"/>
      <c r="D11" s="104">
        <f t="shared" si="5"/>
        <v>0</v>
      </c>
      <c r="E11" s="127">
        <f t="shared" si="0"/>
        <v>0</v>
      </c>
      <c r="F11" s="130"/>
      <c r="G11" s="74"/>
      <c r="H11" s="130"/>
      <c r="I11" s="130"/>
      <c r="J11" s="74"/>
      <c r="K11" s="130"/>
      <c r="L11" s="130"/>
      <c r="M11" s="127">
        <f t="shared" si="1"/>
        <v>0</v>
      </c>
      <c r="N11" s="130"/>
      <c r="O11" s="130"/>
      <c r="P11" s="130"/>
      <c r="Q11" s="130"/>
      <c r="R11" s="130"/>
      <c r="S11" s="130"/>
      <c r="T11" s="130"/>
      <c r="U11" s="127">
        <f t="shared" si="2"/>
        <v>0</v>
      </c>
      <c r="V11" s="130"/>
      <c r="W11" s="130"/>
      <c r="X11" s="130"/>
      <c r="Y11" s="130"/>
      <c r="Z11" s="130"/>
      <c r="AA11" s="130"/>
      <c r="AB11" s="130"/>
      <c r="AC11" s="127">
        <f t="shared" si="3"/>
        <v>0</v>
      </c>
      <c r="AD11" s="130"/>
      <c r="AE11" s="130"/>
      <c r="AF11" s="130"/>
      <c r="AG11" s="130"/>
      <c r="AH11" s="130"/>
      <c r="AI11" s="130"/>
      <c r="AJ11" s="130"/>
      <c r="AK11" s="127">
        <f t="shared" si="4"/>
        <v>0</v>
      </c>
      <c r="AL11" s="130"/>
      <c r="AM11" s="130"/>
      <c r="AN11" s="130"/>
    </row>
    <row r="12" spans="1:40" x14ac:dyDescent="0.3">
      <c r="A12" s="100"/>
      <c r="B12" s="107" t="s">
        <v>116</v>
      </c>
      <c r="C12" s="107"/>
      <c r="D12" s="104">
        <f t="shared" si="5"/>
        <v>0</v>
      </c>
      <c r="E12" s="127">
        <f t="shared" si="0"/>
        <v>0</v>
      </c>
      <c r="F12" s="130"/>
      <c r="G12" s="74"/>
      <c r="H12" s="130"/>
      <c r="I12" s="130"/>
      <c r="J12" s="74"/>
      <c r="K12" s="130"/>
      <c r="L12" s="130"/>
      <c r="M12" s="127">
        <f t="shared" si="1"/>
        <v>0</v>
      </c>
      <c r="N12" s="130"/>
      <c r="O12" s="130"/>
      <c r="P12" s="130"/>
      <c r="Q12" s="130"/>
      <c r="R12" s="130"/>
      <c r="S12" s="130"/>
      <c r="T12" s="130"/>
      <c r="U12" s="127">
        <f t="shared" si="2"/>
        <v>0</v>
      </c>
      <c r="V12" s="130"/>
      <c r="W12" s="130"/>
      <c r="X12" s="130"/>
      <c r="Y12" s="130"/>
      <c r="Z12" s="130"/>
      <c r="AA12" s="130"/>
      <c r="AB12" s="130"/>
      <c r="AC12" s="127">
        <f t="shared" si="3"/>
        <v>0</v>
      </c>
      <c r="AD12" s="130"/>
      <c r="AE12" s="130"/>
      <c r="AF12" s="130"/>
      <c r="AG12" s="130"/>
      <c r="AH12" s="130"/>
      <c r="AI12" s="130"/>
      <c r="AJ12" s="130"/>
      <c r="AK12" s="127">
        <f t="shared" si="4"/>
        <v>0</v>
      </c>
      <c r="AL12" s="130"/>
      <c r="AM12" s="130"/>
      <c r="AN12" s="130"/>
    </row>
    <row r="13" spans="1:40" x14ac:dyDescent="0.3">
      <c r="A13" s="100"/>
      <c r="B13" s="107" t="s">
        <v>46</v>
      </c>
      <c r="C13" s="107"/>
      <c r="D13" s="104">
        <f t="shared" si="5"/>
        <v>0</v>
      </c>
      <c r="E13" s="127">
        <f t="shared" si="0"/>
        <v>0</v>
      </c>
      <c r="F13" s="130"/>
      <c r="G13" s="74"/>
      <c r="H13" s="130"/>
      <c r="I13" s="130"/>
      <c r="J13" s="74"/>
      <c r="K13" s="130"/>
      <c r="L13" s="130"/>
      <c r="M13" s="127">
        <f t="shared" si="1"/>
        <v>0</v>
      </c>
      <c r="N13" s="130"/>
      <c r="O13" s="130"/>
      <c r="P13" s="130"/>
      <c r="Q13" s="130"/>
      <c r="R13" s="130"/>
      <c r="S13" s="130"/>
      <c r="T13" s="130"/>
      <c r="U13" s="127">
        <f t="shared" si="2"/>
        <v>0</v>
      </c>
      <c r="V13" s="130"/>
      <c r="W13" s="130"/>
      <c r="X13" s="130"/>
      <c r="Y13" s="130"/>
      <c r="Z13" s="130"/>
      <c r="AA13" s="130"/>
      <c r="AB13" s="130"/>
      <c r="AC13" s="127">
        <f t="shared" si="3"/>
        <v>0</v>
      </c>
      <c r="AD13" s="130"/>
      <c r="AE13" s="130"/>
      <c r="AF13" s="130"/>
      <c r="AG13" s="130"/>
      <c r="AH13" s="130"/>
      <c r="AI13" s="130"/>
      <c r="AJ13" s="130"/>
      <c r="AK13" s="127">
        <f t="shared" si="4"/>
        <v>0</v>
      </c>
      <c r="AL13" s="130"/>
      <c r="AM13" s="130"/>
      <c r="AN13" s="130"/>
    </row>
    <row r="14" spans="1:40" x14ac:dyDescent="0.3">
      <c r="A14" s="100"/>
      <c r="B14" s="107" t="s">
        <v>3</v>
      </c>
      <c r="C14" s="107"/>
      <c r="D14" s="104">
        <f t="shared" si="5"/>
        <v>0</v>
      </c>
      <c r="E14" s="127">
        <f t="shared" si="0"/>
        <v>0</v>
      </c>
      <c r="F14" s="130"/>
      <c r="G14" s="74"/>
      <c r="H14" s="130"/>
      <c r="I14" s="130"/>
      <c r="J14" s="74"/>
      <c r="K14" s="130"/>
      <c r="L14" s="130"/>
      <c r="M14" s="127">
        <f t="shared" si="1"/>
        <v>0</v>
      </c>
      <c r="N14" s="130"/>
      <c r="O14" s="130"/>
      <c r="P14" s="130"/>
      <c r="Q14" s="130"/>
      <c r="R14" s="130"/>
      <c r="S14" s="130"/>
      <c r="T14" s="130"/>
      <c r="U14" s="127">
        <f t="shared" si="2"/>
        <v>0</v>
      </c>
      <c r="V14" s="130"/>
      <c r="W14" s="130"/>
      <c r="X14" s="130"/>
      <c r="Y14" s="130"/>
      <c r="Z14" s="130"/>
      <c r="AA14" s="130"/>
      <c r="AB14" s="130"/>
      <c r="AC14" s="127">
        <f t="shared" si="3"/>
        <v>0</v>
      </c>
      <c r="AD14" s="130"/>
      <c r="AE14" s="130"/>
      <c r="AF14" s="130"/>
      <c r="AG14" s="130"/>
      <c r="AH14" s="130"/>
      <c r="AI14" s="130"/>
      <c r="AJ14" s="130"/>
      <c r="AK14" s="127">
        <f t="shared" si="4"/>
        <v>0</v>
      </c>
      <c r="AL14" s="130"/>
      <c r="AM14" s="130"/>
      <c r="AN14" s="130"/>
    </row>
    <row r="15" spans="1:40" x14ac:dyDescent="0.3">
      <c r="A15" s="100"/>
      <c r="B15" s="107" t="s">
        <v>209</v>
      </c>
      <c r="C15" s="107"/>
      <c r="D15" s="104">
        <f t="shared" si="5"/>
        <v>0</v>
      </c>
      <c r="E15" s="127">
        <f t="shared" si="0"/>
        <v>0</v>
      </c>
      <c r="F15" s="130"/>
      <c r="G15" s="74"/>
      <c r="H15" s="130"/>
      <c r="I15" s="130"/>
      <c r="J15" s="74"/>
      <c r="K15" s="130"/>
      <c r="L15" s="130"/>
      <c r="M15" s="127">
        <f t="shared" si="1"/>
        <v>0</v>
      </c>
      <c r="N15" s="130"/>
      <c r="O15" s="130"/>
      <c r="P15" s="130"/>
      <c r="Q15" s="130"/>
      <c r="R15" s="130"/>
      <c r="S15" s="130"/>
      <c r="T15" s="130"/>
      <c r="U15" s="127">
        <f t="shared" si="2"/>
        <v>0</v>
      </c>
      <c r="V15" s="130"/>
      <c r="W15" s="130"/>
      <c r="X15" s="130"/>
      <c r="Y15" s="130"/>
      <c r="Z15" s="130"/>
      <c r="AA15" s="130"/>
      <c r="AB15" s="130"/>
      <c r="AC15" s="127">
        <f t="shared" si="3"/>
        <v>0</v>
      </c>
      <c r="AD15" s="130"/>
      <c r="AE15" s="130"/>
      <c r="AF15" s="130"/>
      <c r="AG15" s="130"/>
      <c r="AH15" s="130"/>
      <c r="AI15" s="130"/>
      <c r="AJ15" s="130"/>
      <c r="AK15" s="127">
        <f t="shared" si="4"/>
        <v>0</v>
      </c>
      <c r="AL15" s="130"/>
      <c r="AM15" s="130"/>
      <c r="AN15" s="130"/>
    </row>
    <row r="16" spans="1:40" x14ac:dyDescent="0.3">
      <c r="A16" s="100"/>
      <c r="B16" s="107" t="s">
        <v>118</v>
      </c>
      <c r="C16" s="107"/>
      <c r="D16" s="104">
        <f t="shared" si="5"/>
        <v>0</v>
      </c>
      <c r="E16" s="127">
        <f t="shared" si="0"/>
        <v>0</v>
      </c>
      <c r="F16" s="130"/>
      <c r="G16" s="74"/>
      <c r="H16" s="130"/>
      <c r="I16" s="130"/>
      <c r="J16" s="74"/>
      <c r="K16" s="130"/>
      <c r="L16" s="130"/>
      <c r="M16" s="127">
        <f t="shared" si="1"/>
        <v>0</v>
      </c>
      <c r="N16" s="130"/>
      <c r="O16" s="130"/>
      <c r="P16" s="130"/>
      <c r="Q16" s="130"/>
      <c r="R16" s="130"/>
      <c r="S16" s="130"/>
      <c r="T16" s="130"/>
      <c r="U16" s="127">
        <f t="shared" si="2"/>
        <v>0</v>
      </c>
      <c r="V16" s="130"/>
      <c r="W16" s="130"/>
      <c r="X16" s="130"/>
      <c r="Y16" s="130"/>
      <c r="Z16" s="130"/>
      <c r="AA16" s="130"/>
      <c r="AB16" s="130"/>
      <c r="AC16" s="127">
        <f t="shared" si="3"/>
        <v>0</v>
      </c>
      <c r="AD16" s="130"/>
      <c r="AE16" s="130"/>
      <c r="AF16" s="130"/>
      <c r="AG16" s="130"/>
      <c r="AH16" s="130"/>
      <c r="AI16" s="130"/>
      <c r="AJ16" s="130"/>
      <c r="AK16" s="127">
        <f t="shared" si="4"/>
        <v>0</v>
      </c>
      <c r="AL16" s="130"/>
      <c r="AM16" s="130"/>
      <c r="AN16" s="130"/>
    </row>
    <row r="17" spans="1:40" x14ac:dyDescent="0.3">
      <c r="A17" s="100"/>
      <c r="B17" s="107" t="s">
        <v>13</v>
      </c>
      <c r="C17" s="107"/>
      <c r="D17" s="104">
        <f t="shared" si="5"/>
        <v>0</v>
      </c>
      <c r="E17" s="127">
        <f t="shared" si="0"/>
        <v>0</v>
      </c>
      <c r="F17" s="130"/>
      <c r="G17" s="74"/>
      <c r="H17" s="130"/>
      <c r="I17" s="130"/>
      <c r="J17" s="74"/>
      <c r="K17" s="130"/>
      <c r="L17" s="130"/>
      <c r="M17" s="127">
        <f t="shared" si="1"/>
        <v>0</v>
      </c>
      <c r="N17" s="130"/>
      <c r="O17" s="130"/>
      <c r="P17" s="130"/>
      <c r="Q17" s="130"/>
      <c r="R17" s="130"/>
      <c r="S17" s="130"/>
      <c r="T17" s="130"/>
      <c r="U17" s="127">
        <f t="shared" si="2"/>
        <v>0</v>
      </c>
      <c r="V17" s="130"/>
      <c r="W17" s="130"/>
      <c r="X17" s="130"/>
      <c r="Y17" s="130"/>
      <c r="Z17" s="130"/>
      <c r="AA17" s="130"/>
      <c r="AB17" s="130"/>
      <c r="AC17" s="127">
        <f t="shared" si="3"/>
        <v>0</v>
      </c>
      <c r="AD17" s="130"/>
      <c r="AE17" s="130"/>
      <c r="AF17" s="130"/>
      <c r="AG17" s="130"/>
      <c r="AH17" s="130"/>
      <c r="AI17" s="130"/>
      <c r="AJ17" s="130"/>
      <c r="AK17" s="127">
        <f t="shared" si="4"/>
        <v>0</v>
      </c>
      <c r="AL17" s="130"/>
      <c r="AM17" s="130"/>
      <c r="AN17" s="130"/>
    </row>
    <row r="18" spans="1:40" x14ac:dyDescent="0.3">
      <c r="A18" s="100"/>
      <c r="B18" s="107" t="s">
        <v>26</v>
      </c>
      <c r="C18" s="107"/>
      <c r="D18" s="104">
        <f t="shared" si="5"/>
        <v>0</v>
      </c>
      <c r="E18" s="127">
        <f t="shared" si="0"/>
        <v>0</v>
      </c>
      <c r="F18" s="130"/>
      <c r="G18" s="74"/>
      <c r="H18" s="130"/>
      <c r="I18" s="130"/>
      <c r="J18" s="74"/>
      <c r="K18" s="130"/>
      <c r="L18" s="130"/>
      <c r="M18" s="127">
        <f t="shared" si="1"/>
        <v>0</v>
      </c>
      <c r="N18" s="74"/>
      <c r="O18" s="130"/>
      <c r="P18" s="130"/>
      <c r="Q18" s="130"/>
      <c r="R18" s="130"/>
      <c r="S18" s="130"/>
      <c r="T18" s="130"/>
      <c r="U18" s="127">
        <f t="shared" si="2"/>
        <v>0</v>
      </c>
      <c r="V18" s="130"/>
      <c r="W18" s="130"/>
      <c r="X18" s="130"/>
      <c r="Y18" s="130"/>
      <c r="Z18" s="130"/>
      <c r="AA18" s="130"/>
      <c r="AB18" s="130"/>
      <c r="AC18" s="127">
        <f t="shared" si="3"/>
        <v>0</v>
      </c>
      <c r="AD18" s="130"/>
      <c r="AE18" s="130"/>
      <c r="AF18" s="130"/>
      <c r="AG18" s="130"/>
      <c r="AH18" s="130"/>
      <c r="AI18" s="130"/>
      <c r="AJ18" s="130"/>
      <c r="AK18" s="127">
        <f t="shared" si="4"/>
        <v>0</v>
      </c>
      <c r="AL18" s="130"/>
      <c r="AM18" s="130"/>
      <c r="AN18" s="130"/>
    </row>
    <row r="19" spans="1:40" x14ac:dyDescent="0.3">
      <c r="A19" s="100"/>
      <c r="B19" s="103" t="s">
        <v>1</v>
      </c>
      <c r="C19" s="103"/>
      <c r="D19" s="104">
        <f t="shared" si="5"/>
        <v>109193</v>
      </c>
      <c r="E19" s="127">
        <f t="shared" si="0"/>
        <v>29093</v>
      </c>
      <c r="F19" s="74">
        <f>2220+1420</f>
        <v>3640</v>
      </c>
      <c r="G19" s="74">
        <f>2358+1990</f>
        <v>4348</v>
      </c>
      <c r="H19" s="74">
        <f>2665+2300</f>
        <v>4965</v>
      </c>
      <c r="I19" s="74">
        <f>3360+2250</f>
        <v>5610</v>
      </c>
      <c r="J19" s="74">
        <f>2270+1420</f>
        <v>3690</v>
      </c>
      <c r="K19" s="74">
        <f>1350+890</f>
        <v>2240</v>
      </c>
      <c r="L19" s="74">
        <f>2800+1800</f>
        <v>4600</v>
      </c>
      <c r="M19" s="127">
        <f t="shared" si="1"/>
        <v>24380</v>
      </c>
      <c r="N19" s="74">
        <f>1080+490</f>
        <v>1570</v>
      </c>
      <c r="O19" s="74">
        <f>2890+1420</f>
        <v>4310</v>
      </c>
      <c r="P19" s="74">
        <f>1350+490</f>
        <v>1840</v>
      </c>
      <c r="Q19" s="74">
        <f>3700+2000</f>
        <v>5700</v>
      </c>
      <c r="R19" s="74">
        <f>2520+1730</f>
        <v>4250</v>
      </c>
      <c r="S19" s="74">
        <f>3060+1420</f>
        <v>4480</v>
      </c>
      <c r="T19" s="70">
        <f>1350+880</f>
        <v>2230</v>
      </c>
      <c r="U19" s="127">
        <f t="shared" si="2"/>
        <v>26880</v>
      </c>
      <c r="V19" s="70">
        <f>3100+1600</f>
        <v>4700</v>
      </c>
      <c r="W19" s="130">
        <v>3820</v>
      </c>
      <c r="X19" s="130">
        <v>4030</v>
      </c>
      <c r="Y19" s="130">
        <v>2540</v>
      </c>
      <c r="Z19" s="130">
        <v>4110</v>
      </c>
      <c r="AA19" s="130">
        <v>3790</v>
      </c>
      <c r="AB19" s="130">
        <v>3890</v>
      </c>
      <c r="AC19" s="127">
        <f t="shared" si="3"/>
        <v>22370</v>
      </c>
      <c r="AD19" s="130">
        <v>2440</v>
      </c>
      <c r="AE19" s="130">
        <v>5410</v>
      </c>
      <c r="AF19" s="130">
        <v>3940</v>
      </c>
      <c r="AG19" s="130">
        <v>2850</v>
      </c>
      <c r="AH19" s="130">
        <v>2450</v>
      </c>
      <c r="AI19" s="130">
        <v>3410</v>
      </c>
      <c r="AJ19" s="130">
        <v>1870</v>
      </c>
      <c r="AK19" s="127">
        <f t="shared" si="4"/>
        <v>6470</v>
      </c>
      <c r="AL19" s="130">
        <v>2480</v>
      </c>
      <c r="AM19" s="130">
        <v>1350</v>
      </c>
      <c r="AN19" s="130">
        <v>2640</v>
      </c>
    </row>
    <row r="20" spans="1:40" x14ac:dyDescent="0.3">
      <c r="A20" s="100"/>
      <c r="B20" s="107" t="s">
        <v>210</v>
      </c>
      <c r="C20" s="107"/>
      <c r="D20" s="104">
        <f t="shared" si="5"/>
        <v>0</v>
      </c>
      <c r="E20" s="127">
        <f t="shared" si="0"/>
        <v>0</v>
      </c>
      <c r="F20" s="74"/>
      <c r="G20" s="74"/>
      <c r="H20" s="74"/>
      <c r="I20" s="74"/>
      <c r="J20" s="74"/>
      <c r="K20" s="74"/>
      <c r="L20" s="74"/>
      <c r="M20" s="127">
        <f t="shared" si="1"/>
        <v>0</v>
      </c>
      <c r="N20" s="74"/>
      <c r="O20" s="74"/>
      <c r="P20" s="74"/>
      <c r="Q20" s="74"/>
      <c r="R20" s="74"/>
      <c r="S20" s="74"/>
      <c r="T20" s="70"/>
      <c r="U20" s="127">
        <f t="shared" si="2"/>
        <v>0</v>
      </c>
      <c r="V20" s="70"/>
      <c r="W20" s="130"/>
      <c r="X20" s="130"/>
      <c r="Y20" s="130"/>
      <c r="Z20" s="130"/>
      <c r="AA20" s="130"/>
      <c r="AB20" s="130"/>
      <c r="AC20" s="127">
        <f t="shared" si="3"/>
        <v>0</v>
      </c>
      <c r="AD20" s="130"/>
      <c r="AE20" s="130"/>
      <c r="AF20" s="130"/>
      <c r="AG20" s="130"/>
      <c r="AH20" s="130"/>
      <c r="AI20" s="130"/>
      <c r="AJ20" s="130"/>
      <c r="AK20" s="127">
        <f t="shared" si="4"/>
        <v>0</v>
      </c>
      <c r="AL20" s="130"/>
      <c r="AM20" s="130"/>
      <c r="AN20" s="130"/>
    </row>
    <row r="21" spans="1:40" x14ac:dyDescent="0.3">
      <c r="A21" s="100"/>
      <c r="B21" s="108" t="s">
        <v>211</v>
      </c>
      <c r="C21" s="109"/>
      <c r="D21" s="104">
        <f t="shared" si="5"/>
        <v>6666</v>
      </c>
      <c r="E21" s="127">
        <f t="shared" si="0"/>
        <v>1790</v>
      </c>
      <c r="F21" s="74">
        <f>25+45</f>
        <v>70</v>
      </c>
      <c r="G21" s="74">
        <f>165+530</f>
        <v>695</v>
      </c>
      <c r="H21" s="74">
        <f>123+70</f>
        <v>193</v>
      </c>
      <c r="I21" s="74">
        <f>75+45</f>
        <v>120</v>
      </c>
      <c r="J21" s="74">
        <f>52+25</f>
        <v>77</v>
      </c>
      <c r="K21" s="74">
        <f>165+90</f>
        <v>255</v>
      </c>
      <c r="L21" s="74">
        <f>310+70</f>
        <v>380</v>
      </c>
      <c r="M21" s="127">
        <f t="shared" si="1"/>
        <v>1083</v>
      </c>
      <c r="N21" s="74">
        <f>33+18</f>
        <v>51</v>
      </c>
      <c r="O21" s="74">
        <f>57+25</f>
        <v>82</v>
      </c>
      <c r="P21" s="74">
        <f>165+75</f>
        <v>240</v>
      </c>
      <c r="Q21" s="74">
        <f>306+60</f>
        <v>366</v>
      </c>
      <c r="R21" s="74">
        <f>46+26</f>
        <v>72</v>
      </c>
      <c r="S21" s="74">
        <f>50+25</f>
        <v>75</v>
      </c>
      <c r="T21" s="70">
        <f>165+32</f>
        <v>197</v>
      </c>
      <c r="U21" s="127">
        <f t="shared" si="2"/>
        <v>1611</v>
      </c>
      <c r="V21" s="70">
        <f>296+60</f>
        <v>356</v>
      </c>
      <c r="W21" s="130">
        <v>65</v>
      </c>
      <c r="X21" s="130">
        <v>75</v>
      </c>
      <c r="Y21" s="130">
        <v>630</v>
      </c>
      <c r="Z21" s="130">
        <v>345</v>
      </c>
      <c r="AA21" s="130">
        <v>65</v>
      </c>
      <c r="AB21" s="130">
        <v>75</v>
      </c>
      <c r="AC21" s="127">
        <f t="shared" si="3"/>
        <v>1713</v>
      </c>
      <c r="AD21" s="130">
        <v>590</v>
      </c>
      <c r="AE21" s="130">
        <v>245</v>
      </c>
      <c r="AF21" s="130">
        <v>68</v>
      </c>
      <c r="AG21" s="130">
        <v>70</v>
      </c>
      <c r="AH21" s="130">
        <v>430</v>
      </c>
      <c r="AI21" s="130">
        <v>273</v>
      </c>
      <c r="AJ21" s="130">
        <v>37</v>
      </c>
      <c r="AK21" s="127">
        <f t="shared" si="4"/>
        <v>469</v>
      </c>
      <c r="AL21" s="130">
        <v>45</v>
      </c>
      <c r="AM21" s="130">
        <v>165</v>
      </c>
      <c r="AN21" s="130">
        <v>259</v>
      </c>
    </row>
    <row r="22" spans="1:40" x14ac:dyDescent="0.3">
      <c r="A22" s="100"/>
      <c r="B22" s="103" t="s">
        <v>15</v>
      </c>
      <c r="C22" s="103"/>
      <c r="D22" s="104">
        <f t="shared" si="5"/>
        <v>18246</v>
      </c>
      <c r="E22" s="127">
        <f t="shared" si="0"/>
        <v>4134</v>
      </c>
      <c r="F22" s="74">
        <f>275+215</f>
        <v>490</v>
      </c>
      <c r="G22" s="74">
        <f>155+745</f>
        <v>900</v>
      </c>
      <c r="H22" s="74">
        <f>370+509</f>
        <v>879</v>
      </c>
      <c r="I22" s="74">
        <f>340+180</f>
        <v>520</v>
      </c>
      <c r="J22" s="74">
        <f>290+215</f>
        <v>505</v>
      </c>
      <c r="K22" s="74">
        <f>155+195</f>
        <v>350</v>
      </c>
      <c r="L22" s="74">
        <f>360+130</f>
        <v>490</v>
      </c>
      <c r="M22" s="127">
        <f t="shared" si="1"/>
        <v>3740</v>
      </c>
      <c r="N22" s="74">
        <f>220+100</f>
        <v>320</v>
      </c>
      <c r="O22" s="74">
        <f>320+215</f>
        <v>535</v>
      </c>
      <c r="P22" s="74">
        <f>155+125</f>
        <v>280</v>
      </c>
      <c r="Q22" s="74">
        <f>950+400</f>
        <v>1350</v>
      </c>
      <c r="R22" s="74">
        <f>270+110</f>
        <v>380</v>
      </c>
      <c r="S22" s="74">
        <f>320+215</f>
        <v>535</v>
      </c>
      <c r="T22" s="70">
        <f>155+185</f>
        <v>340</v>
      </c>
      <c r="U22" s="127">
        <f t="shared" si="2"/>
        <v>4505</v>
      </c>
      <c r="V22" s="70">
        <f>640+130</f>
        <v>770</v>
      </c>
      <c r="W22" s="130">
        <v>320</v>
      </c>
      <c r="X22" s="130">
        <v>535</v>
      </c>
      <c r="Y22" s="130">
        <v>880</v>
      </c>
      <c r="Z22" s="130">
        <v>1150</v>
      </c>
      <c r="AA22" s="130">
        <v>320</v>
      </c>
      <c r="AB22" s="130">
        <v>530</v>
      </c>
      <c r="AC22" s="127">
        <f t="shared" si="3"/>
        <v>4880</v>
      </c>
      <c r="AD22" s="129">
        <v>870</v>
      </c>
      <c r="AE22" s="129">
        <v>1350</v>
      </c>
      <c r="AF22" s="129">
        <v>380</v>
      </c>
      <c r="AG22" s="129">
        <v>520</v>
      </c>
      <c r="AH22" s="129">
        <v>660</v>
      </c>
      <c r="AI22" s="129">
        <v>860</v>
      </c>
      <c r="AJ22" s="129">
        <v>240</v>
      </c>
      <c r="AK22" s="127">
        <f t="shared" si="4"/>
        <v>987</v>
      </c>
      <c r="AL22" s="129">
        <v>305</v>
      </c>
      <c r="AM22" s="129">
        <v>155</v>
      </c>
      <c r="AN22" s="129">
        <v>527</v>
      </c>
    </row>
    <row r="23" spans="1:40" x14ac:dyDescent="0.3">
      <c r="A23" s="100"/>
      <c r="B23" s="103" t="s">
        <v>9</v>
      </c>
      <c r="C23" s="103"/>
      <c r="D23" s="104">
        <f t="shared" si="5"/>
        <v>4677</v>
      </c>
      <c r="E23" s="127">
        <f t="shared" si="0"/>
        <v>1258</v>
      </c>
      <c r="F23" s="74">
        <f>77+45</f>
        <v>122</v>
      </c>
      <c r="G23" s="74">
        <f>270+55</f>
        <v>325</v>
      </c>
      <c r="H23" s="74">
        <f>121+90</f>
        <v>211</v>
      </c>
      <c r="I23" s="74">
        <f>50+100</f>
        <v>150</v>
      </c>
      <c r="J23" s="74">
        <f>45+80</f>
        <v>125</v>
      </c>
      <c r="K23" s="74">
        <f>37+55</f>
        <v>92</v>
      </c>
      <c r="L23" s="74">
        <f>90+143</f>
        <v>233</v>
      </c>
      <c r="M23" s="127">
        <f t="shared" si="1"/>
        <v>1002</v>
      </c>
      <c r="N23" s="74">
        <f>42+87</f>
        <v>129</v>
      </c>
      <c r="O23" s="74">
        <f>45+97</f>
        <v>142</v>
      </c>
      <c r="P23" s="74">
        <f>55+37</f>
        <v>92</v>
      </c>
      <c r="Q23" s="74">
        <f>90+145</f>
        <v>235</v>
      </c>
      <c r="R23" s="74">
        <f>40+85</f>
        <v>125</v>
      </c>
      <c r="S23" s="74">
        <f>45+109</f>
        <v>154</v>
      </c>
      <c r="T23" s="70">
        <f>70+55</f>
        <v>125</v>
      </c>
      <c r="U23" s="127">
        <f t="shared" si="2"/>
        <v>1102</v>
      </c>
      <c r="V23" s="70">
        <f>133+80</f>
        <v>213</v>
      </c>
      <c r="W23" s="129">
        <v>109</v>
      </c>
      <c r="X23" s="129">
        <v>145</v>
      </c>
      <c r="Y23" s="129">
        <v>152</v>
      </c>
      <c r="Z23" s="129">
        <v>203</v>
      </c>
      <c r="AA23" s="129">
        <v>130</v>
      </c>
      <c r="AB23" s="129">
        <v>150</v>
      </c>
      <c r="AC23" s="127">
        <f t="shared" si="3"/>
        <v>970</v>
      </c>
      <c r="AD23" s="129">
        <v>164</v>
      </c>
      <c r="AE23" s="129">
        <v>230</v>
      </c>
      <c r="AF23" s="129">
        <v>124</v>
      </c>
      <c r="AG23" s="129">
        <v>150</v>
      </c>
      <c r="AH23" s="129">
        <v>105</v>
      </c>
      <c r="AI23" s="129">
        <v>120</v>
      </c>
      <c r="AJ23" s="129">
        <v>77</v>
      </c>
      <c r="AK23" s="127">
        <f t="shared" si="4"/>
        <v>345</v>
      </c>
      <c r="AL23" s="129">
        <v>150</v>
      </c>
      <c r="AM23" s="129">
        <v>55</v>
      </c>
      <c r="AN23" s="129">
        <v>140</v>
      </c>
    </row>
    <row r="24" spans="1:40" x14ac:dyDescent="0.3">
      <c r="A24" s="100"/>
      <c r="B24" s="100" t="s">
        <v>35</v>
      </c>
      <c r="C24" s="100"/>
      <c r="D24" s="104">
        <f t="shared" si="5"/>
        <v>0</v>
      </c>
      <c r="E24" s="127">
        <f t="shared" si="0"/>
        <v>0</v>
      </c>
      <c r="F24" s="129"/>
      <c r="G24" s="129"/>
      <c r="H24" s="129"/>
      <c r="I24" s="129"/>
      <c r="J24" s="129"/>
      <c r="K24" s="129"/>
      <c r="L24" s="129"/>
      <c r="M24" s="127">
        <f t="shared" si="1"/>
        <v>0</v>
      </c>
      <c r="N24" s="129"/>
      <c r="O24" s="74"/>
      <c r="P24" s="129"/>
      <c r="Q24" s="129"/>
      <c r="R24" s="129"/>
      <c r="S24" s="129"/>
      <c r="T24" s="129"/>
      <c r="U24" s="127">
        <f t="shared" si="2"/>
        <v>0</v>
      </c>
      <c r="V24" s="129"/>
      <c r="W24" s="129"/>
      <c r="X24" s="129"/>
      <c r="Y24" s="129"/>
      <c r="Z24" s="129"/>
      <c r="AA24" s="129"/>
      <c r="AB24" s="129"/>
      <c r="AC24" s="127">
        <f t="shared" si="3"/>
        <v>0</v>
      </c>
      <c r="AD24" s="129"/>
      <c r="AE24" s="129"/>
      <c r="AF24" s="129"/>
      <c r="AG24" s="129"/>
      <c r="AH24" s="129"/>
      <c r="AI24" s="129"/>
      <c r="AJ24" s="129"/>
      <c r="AK24" s="127">
        <f t="shared" si="4"/>
        <v>0</v>
      </c>
      <c r="AL24" s="129"/>
      <c r="AM24" s="129"/>
      <c r="AN24" s="129"/>
    </row>
    <row r="25" spans="1:40" x14ac:dyDescent="0.3">
      <c r="A25" s="97" t="s">
        <v>4</v>
      </c>
      <c r="B25" s="97"/>
      <c r="C25" s="97"/>
      <c r="D25" s="110">
        <f>SUM(D6:D24)</f>
        <v>250854</v>
      </c>
      <c r="E25" s="110">
        <f t="shared" ref="E25:AN25" si="6">SUM(E6:E24)</f>
        <v>63325</v>
      </c>
      <c r="F25" s="110">
        <f t="shared" si="6"/>
        <v>7312</v>
      </c>
      <c r="G25" s="110">
        <f t="shared" si="6"/>
        <v>12488</v>
      </c>
      <c r="H25" s="110">
        <f t="shared" si="6"/>
        <v>11179</v>
      </c>
      <c r="I25" s="110">
        <f t="shared" si="6"/>
        <v>10500</v>
      </c>
      <c r="J25" s="110">
        <f t="shared" si="6"/>
        <v>7517</v>
      </c>
      <c r="K25" s="110">
        <f t="shared" si="6"/>
        <v>5547</v>
      </c>
      <c r="L25" s="110">
        <f t="shared" si="6"/>
        <v>8782</v>
      </c>
      <c r="M25" s="110">
        <f t="shared" si="6"/>
        <v>54483</v>
      </c>
      <c r="N25" s="110">
        <f t="shared" si="6"/>
        <v>4687</v>
      </c>
      <c r="O25" s="110">
        <f t="shared" si="6"/>
        <v>9029</v>
      </c>
      <c r="P25" s="110">
        <f t="shared" si="6"/>
        <v>4944</v>
      </c>
      <c r="Q25" s="110">
        <f t="shared" si="6"/>
        <v>11630</v>
      </c>
      <c r="R25" s="110">
        <f t="shared" si="6"/>
        <v>8457</v>
      </c>
      <c r="S25" s="110">
        <f t="shared" si="6"/>
        <v>9464</v>
      </c>
      <c r="T25" s="110">
        <f t="shared" si="6"/>
        <v>6272</v>
      </c>
      <c r="U25" s="110">
        <f t="shared" si="6"/>
        <v>58308</v>
      </c>
      <c r="V25" s="110">
        <f t="shared" si="6"/>
        <v>9433</v>
      </c>
      <c r="W25" s="110">
        <f t="shared" si="6"/>
        <v>7784</v>
      </c>
      <c r="X25" s="110">
        <f t="shared" si="6"/>
        <v>8395</v>
      </c>
      <c r="Y25" s="110">
        <f t="shared" si="6"/>
        <v>7779</v>
      </c>
      <c r="Z25" s="110">
        <f t="shared" si="6"/>
        <v>9407</v>
      </c>
      <c r="AA25" s="110">
        <f t="shared" si="6"/>
        <v>7315</v>
      </c>
      <c r="AB25" s="110">
        <f t="shared" si="6"/>
        <v>8195</v>
      </c>
      <c r="AC25" s="110">
        <f t="shared" si="6"/>
        <v>55699</v>
      </c>
      <c r="AD25" s="110">
        <f t="shared" si="6"/>
        <v>7341</v>
      </c>
      <c r="AE25" s="110">
        <f t="shared" si="6"/>
        <v>11434</v>
      </c>
      <c r="AF25" s="110">
        <f t="shared" si="6"/>
        <v>8662</v>
      </c>
      <c r="AG25" s="110">
        <f t="shared" si="6"/>
        <v>6940</v>
      </c>
      <c r="AH25" s="110">
        <f t="shared" si="6"/>
        <v>6576</v>
      </c>
      <c r="AI25" s="110">
        <f t="shared" si="6"/>
        <v>8772</v>
      </c>
      <c r="AJ25" s="110">
        <f t="shared" si="6"/>
        <v>5974</v>
      </c>
      <c r="AK25" s="110">
        <f t="shared" si="6"/>
        <v>19039</v>
      </c>
      <c r="AL25" s="110">
        <f t="shared" si="6"/>
        <v>6490</v>
      </c>
      <c r="AM25" s="110">
        <f t="shared" si="6"/>
        <v>5144</v>
      </c>
      <c r="AN25" s="110">
        <f t="shared" si="6"/>
        <v>7405</v>
      </c>
    </row>
    <row r="26" spans="1:40" x14ac:dyDescent="0.3">
      <c r="A26" s="100"/>
      <c r="B26" s="100" t="s">
        <v>6</v>
      </c>
      <c r="C26" s="56" t="s">
        <v>32</v>
      </c>
      <c r="D26" s="104">
        <f t="shared" ref="D26" si="7">SUM(F26:AJ26)</f>
        <v>0</v>
      </c>
      <c r="E26" s="127">
        <f t="shared" ref="E26:E27" si="8">SUM(F26:L26)</f>
        <v>0</v>
      </c>
      <c r="F26" s="74"/>
      <c r="G26" s="74"/>
      <c r="H26" s="74"/>
      <c r="I26" s="74"/>
      <c r="J26" s="74"/>
      <c r="K26" s="74"/>
      <c r="L26" s="74"/>
      <c r="M26" s="127">
        <f t="shared" ref="M26:M27" si="9">SUM(N26:T26)</f>
        <v>0</v>
      </c>
      <c r="N26" s="74"/>
      <c r="O26" s="74"/>
      <c r="P26" s="74"/>
      <c r="Q26" s="74"/>
      <c r="R26" s="74"/>
      <c r="S26" s="74"/>
      <c r="T26" s="74"/>
      <c r="U26" s="127">
        <f t="shared" ref="U26:U27" si="10">SUM(V26:AB26)</f>
        <v>0</v>
      </c>
      <c r="V26" s="74"/>
      <c r="W26" s="70"/>
      <c r="X26" s="70"/>
      <c r="Y26" s="70"/>
      <c r="Z26" s="70"/>
      <c r="AA26" s="70"/>
      <c r="AB26" s="70"/>
      <c r="AC26" s="127">
        <f t="shared" ref="AC26:AC27" si="11">SUM(AD26:AJ26)</f>
        <v>0</v>
      </c>
      <c r="AD26" s="70"/>
      <c r="AE26" s="70"/>
      <c r="AF26" s="70"/>
      <c r="AG26" s="70"/>
      <c r="AH26" s="70"/>
      <c r="AI26" s="70"/>
      <c r="AJ26" s="70"/>
      <c r="AK26" s="127">
        <f t="shared" ref="AK26:AK27" si="12">SUM(AL26:AR26)</f>
        <v>0</v>
      </c>
      <c r="AL26" s="70"/>
      <c r="AM26" s="70"/>
      <c r="AN26" s="70"/>
    </row>
    <row r="27" spans="1:40" x14ac:dyDescent="0.3">
      <c r="A27" s="100"/>
      <c r="B27" s="100"/>
      <c r="C27" s="56" t="s">
        <v>121</v>
      </c>
      <c r="D27" s="104">
        <f>SUM(F27:L27,N27:T27,V27:AB27,AD27:AJ27,AL27:AN27)</f>
        <v>78465</v>
      </c>
      <c r="E27" s="127">
        <f t="shared" si="8"/>
        <v>20705</v>
      </c>
      <c r="F27" s="74">
        <f>1620+1250</f>
        <v>2870</v>
      </c>
      <c r="G27" s="74">
        <f>2015+1100</f>
        <v>3115</v>
      </c>
      <c r="H27" s="74">
        <f>1960+2300</f>
        <v>4260</v>
      </c>
      <c r="I27" s="74">
        <f>2510+1680</f>
        <v>4190</v>
      </c>
      <c r="J27" s="74">
        <f>1890+1250</f>
        <v>3140</v>
      </c>
      <c r="K27" s="74">
        <f>1230+180</f>
        <v>1410</v>
      </c>
      <c r="L27" s="74">
        <f>1070+650</f>
        <v>1720</v>
      </c>
      <c r="M27" s="127">
        <f t="shared" si="9"/>
        <v>18510</v>
      </c>
      <c r="N27" s="74">
        <f>1600+760</f>
        <v>2360</v>
      </c>
      <c r="O27" s="74">
        <f>2020+1250</f>
        <v>3270</v>
      </c>
      <c r="P27" s="74">
        <f>1230+180</f>
        <v>1410</v>
      </c>
      <c r="Q27" s="74">
        <f>1810+1150</f>
        <v>2960</v>
      </c>
      <c r="R27" s="74">
        <f>2080+1370</f>
        <v>3450</v>
      </c>
      <c r="S27" s="74">
        <f>1930+1250</f>
        <v>3180</v>
      </c>
      <c r="T27" s="70">
        <f>1230+650</f>
        <v>1880</v>
      </c>
      <c r="U27" s="127">
        <f t="shared" si="10"/>
        <v>18590</v>
      </c>
      <c r="V27" s="70">
        <f>2160+1000</f>
        <v>3160</v>
      </c>
      <c r="W27" s="70">
        <v>3270</v>
      </c>
      <c r="X27" s="70">
        <v>2960</v>
      </c>
      <c r="Y27" s="70">
        <v>1430</v>
      </c>
      <c r="Z27" s="70">
        <v>2600</v>
      </c>
      <c r="AA27" s="70">
        <v>3110</v>
      </c>
      <c r="AB27" s="70">
        <v>2060</v>
      </c>
      <c r="AC27" s="127">
        <f t="shared" si="11"/>
        <v>15310</v>
      </c>
      <c r="AD27" s="70">
        <v>1435</v>
      </c>
      <c r="AE27" s="70">
        <v>3140</v>
      </c>
      <c r="AF27" s="70">
        <v>3540</v>
      </c>
      <c r="AG27" s="70">
        <v>1950</v>
      </c>
      <c r="AH27" s="70">
        <v>1375</v>
      </c>
      <c r="AI27" s="70">
        <v>2060</v>
      </c>
      <c r="AJ27" s="70">
        <v>1810</v>
      </c>
      <c r="AK27" s="127">
        <f t="shared" si="12"/>
        <v>5350</v>
      </c>
      <c r="AL27" s="70">
        <v>1790</v>
      </c>
      <c r="AM27" s="70">
        <v>1230</v>
      </c>
      <c r="AN27" s="70">
        <v>2330</v>
      </c>
    </row>
    <row r="28" spans="1:40" x14ac:dyDescent="0.3">
      <c r="A28" s="97" t="s">
        <v>4</v>
      </c>
      <c r="B28" s="97"/>
      <c r="C28" s="97"/>
      <c r="D28" s="104">
        <f>SUM(D26:D27)</f>
        <v>78465</v>
      </c>
      <c r="E28" s="110">
        <f t="shared" ref="E28:AN28" si="13">SUM(E26:E27)</f>
        <v>20705</v>
      </c>
      <c r="F28" s="131">
        <f t="shared" si="13"/>
        <v>2870</v>
      </c>
      <c r="G28" s="131">
        <f t="shared" si="13"/>
        <v>3115</v>
      </c>
      <c r="H28" s="131">
        <f t="shared" si="13"/>
        <v>4260</v>
      </c>
      <c r="I28" s="131">
        <f t="shared" si="13"/>
        <v>4190</v>
      </c>
      <c r="J28" s="131">
        <f t="shared" si="13"/>
        <v>3140</v>
      </c>
      <c r="K28" s="131">
        <f t="shared" si="13"/>
        <v>1410</v>
      </c>
      <c r="L28" s="131">
        <f t="shared" si="13"/>
        <v>1720</v>
      </c>
      <c r="M28" s="110">
        <f t="shared" si="13"/>
        <v>18510</v>
      </c>
      <c r="N28" s="131">
        <f t="shared" si="13"/>
        <v>2360</v>
      </c>
      <c r="O28" s="131">
        <f t="shared" si="13"/>
        <v>3270</v>
      </c>
      <c r="P28" s="131">
        <f t="shared" si="13"/>
        <v>1410</v>
      </c>
      <c r="Q28" s="131">
        <f t="shared" si="13"/>
        <v>2960</v>
      </c>
      <c r="R28" s="131">
        <f>SUM(R27)</f>
        <v>3450</v>
      </c>
      <c r="S28" s="131">
        <f t="shared" si="13"/>
        <v>3180</v>
      </c>
      <c r="T28" s="131">
        <f t="shared" si="13"/>
        <v>1880</v>
      </c>
      <c r="U28" s="110">
        <f t="shared" si="13"/>
        <v>18590</v>
      </c>
      <c r="V28" s="131">
        <f t="shared" si="13"/>
        <v>3160</v>
      </c>
      <c r="W28" s="131">
        <f t="shared" si="13"/>
        <v>3270</v>
      </c>
      <c r="X28" s="131">
        <f t="shared" si="13"/>
        <v>2960</v>
      </c>
      <c r="Y28" s="131">
        <f t="shared" si="13"/>
        <v>1430</v>
      </c>
      <c r="Z28" s="131">
        <f t="shared" si="13"/>
        <v>2600</v>
      </c>
      <c r="AA28" s="131">
        <f t="shared" si="13"/>
        <v>3110</v>
      </c>
      <c r="AB28" s="131">
        <f t="shared" si="13"/>
        <v>2060</v>
      </c>
      <c r="AC28" s="110">
        <f t="shared" si="13"/>
        <v>15310</v>
      </c>
      <c r="AD28" s="131">
        <f t="shared" si="13"/>
        <v>1435</v>
      </c>
      <c r="AE28" s="131">
        <f t="shared" si="13"/>
        <v>3140</v>
      </c>
      <c r="AF28" s="131">
        <f t="shared" si="13"/>
        <v>3540</v>
      </c>
      <c r="AG28" s="131">
        <f t="shared" si="13"/>
        <v>1950</v>
      </c>
      <c r="AH28" s="131">
        <f t="shared" si="13"/>
        <v>1375</v>
      </c>
      <c r="AI28" s="131">
        <f t="shared" si="13"/>
        <v>2060</v>
      </c>
      <c r="AJ28" s="131">
        <f t="shared" si="13"/>
        <v>1810</v>
      </c>
      <c r="AK28" s="110">
        <f t="shared" si="13"/>
        <v>5350</v>
      </c>
      <c r="AL28" s="131">
        <f t="shared" si="13"/>
        <v>1790</v>
      </c>
      <c r="AM28" s="131">
        <f t="shared" si="13"/>
        <v>1230</v>
      </c>
      <c r="AN28" s="131">
        <f t="shared" si="13"/>
        <v>2330</v>
      </c>
    </row>
    <row r="29" spans="1:40" x14ac:dyDescent="0.3">
      <c r="A29" s="113" t="s">
        <v>87</v>
      </c>
      <c r="B29" s="113"/>
      <c r="C29" s="113"/>
      <c r="D29" s="114">
        <f>SUM(D28,D25)</f>
        <v>329319</v>
      </c>
      <c r="E29" s="132">
        <f t="shared" ref="E29:AN29" si="14">SUM(E25,E28)</f>
        <v>84030</v>
      </c>
      <c r="F29" s="132">
        <f t="shared" si="14"/>
        <v>10182</v>
      </c>
      <c r="G29" s="134">
        <f t="shared" si="14"/>
        <v>15603</v>
      </c>
      <c r="H29" s="134">
        <f t="shared" si="14"/>
        <v>15439</v>
      </c>
      <c r="I29" s="134">
        <f t="shared" si="14"/>
        <v>14690</v>
      </c>
      <c r="J29" s="134">
        <f t="shared" si="14"/>
        <v>10657</v>
      </c>
      <c r="K29" s="134">
        <f t="shared" si="14"/>
        <v>6957</v>
      </c>
      <c r="L29" s="134">
        <f t="shared" si="14"/>
        <v>10502</v>
      </c>
      <c r="M29" s="132">
        <f t="shared" si="14"/>
        <v>72993</v>
      </c>
      <c r="N29" s="134">
        <f t="shared" si="14"/>
        <v>7047</v>
      </c>
      <c r="O29" s="134">
        <f t="shared" si="14"/>
        <v>12299</v>
      </c>
      <c r="P29" s="134">
        <f t="shared" si="14"/>
        <v>6354</v>
      </c>
      <c r="Q29" s="134">
        <f t="shared" si="14"/>
        <v>14590</v>
      </c>
      <c r="R29" s="132">
        <f>SUM(R25+R28)</f>
        <v>11907</v>
      </c>
      <c r="S29" s="134">
        <f t="shared" si="14"/>
        <v>12644</v>
      </c>
      <c r="T29" s="134">
        <f t="shared" si="14"/>
        <v>8152</v>
      </c>
      <c r="U29" s="132">
        <f t="shared" si="14"/>
        <v>76898</v>
      </c>
      <c r="V29" s="134">
        <f t="shared" si="14"/>
        <v>12593</v>
      </c>
      <c r="W29" s="134">
        <f t="shared" si="14"/>
        <v>11054</v>
      </c>
      <c r="X29" s="134">
        <f t="shared" si="14"/>
        <v>11355</v>
      </c>
      <c r="Y29" s="134">
        <f t="shared" si="14"/>
        <v>9209</v>
      </c>
      <c r="Z29" s="134">
        <f t="shared" si="14"/>
        <v>12007</v>
      </c>
      <c r="AA29" s="134">
        <f t="shared" si="14"/>
        <v>10425</v>
      </c>
      <c r="AB29" s="134">
        <f t="shared" si="14"/>
        <v>10255</v>
      </c>
      <c r="AC29" s="132">
        <f t="shared" si="14"/>
        <v>71009</v>
      </c>
      <c r="AD29" s="134">
        <f t="shared" si="14"/>
        <v>8776</v>
      </c>
      <c r="AE29" s="134">
        <f t="shared" si="14"/>
        <v>14574</v>
      </c>
      <c r="AF29" s="134">
        <f t="shared" si="14"/>
        <v>12202</v>
      </c>
      <c r="AG29" s="134">
        <f t="shared" si="14"/>
        <v>8890</v>
      </c>
      <c r="AH29" s="134">
        <f t="shared" si="14"/>
        <v>7951</v>
      </c>
      <c r="AI29" s="134">
        <f t="shared" si="14"/>
        <v>10832</v>
      </c>
      <c r="AJ29" s="134">
        <f t="shared" si="14"/>
        <v>7784</v>
      </c>
      <c r="AK29" s="132">
        <f t="shared" si="14"/>
        <v>24389</v>
      </c>
      <c r="AL29" s="134">
        <f t="shared" si="14"/>
        <v>8280</v>
      </c>
      <c r="AM29" s="134">
        <f t="shared" si="14"/>
        <v>6374</v>
      </c>
      <c r="AN29" s="134">
        <f t="shared" si="14"/>
        <v>9735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85" zoomScaleNormal="85" workbookViewId="0">
      <selection activeCell="F36" sqref="F36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25" style="44" bestFit="1" customWidth="1"/>
    <col min="5" max="16384" width="9" style="44"/>
  </cols>
  <sheetData>
    <row r="1" spans="1:40" ht="26.25" x14ac:dyDescent="0.3">
      <c r="A1" s="94" t="s">
        <v>212</v>
      </c>
      <c r="B1" s="94"/>
      <c r="C1" s="94"/>
      <c r="D1" s="94"/>
      <c r="I1" s="95"/>
      <c r="J1" s="95"/>
      <c r="K1" s="95"/>
      <c r="L1" s="95"/>
      <c r="M1" s="95"/>
      <c r="N1" s="95"/>
      <c r="O1" s="95"/>
    </row>
    <row r="2" spans="1:40" ht="26.25" x14ac:dyDescent="0.3">
      <c r="A2" s="47"/>
      <c r="B2" s="48"/>
      <c r="C2" s="48"/>
      <c r="D2" s="96"/>
      <c r="F2" s="48"/>
      <c r="G2" s="48"/>
      <c r="H2" s="48"/>
      <c r="I2" s="49"/>
      <c r="J2" s="49"/>
      <c r="K2" s="49"/>
      <c r="L2" s="49"/>
      <c r="M2" s="49"/>
      <c r="N2" s="49"/>
      <c r="O2" s="49"/>
      <c r="P2" s="48"/>
      <c r="Q2" s="48"/>
      <c r="R2" s="48"/>
      <c r="S2" s="48"/>
      <c r="T2" s="48"/>
      <c r="V2" s="48"/>
    </row>
    <row r="3" spans="1:40" x14ac:dyDescent="0.3">
      <c r="A3" s="97" t="s">
        <v>19</v>
      </c>
      <c r="B3" s="97"/>
      <c r="C3" s="97"/>
      <c r="D3" s="98" t="s">
        <v>5</v>
      </c>
      <c r="E3" s="125" t="s">
        <v>190</v>
      </c>
      <c r="F3" s="99">
        <v>1</v>
      </c>
      <c r="G3" s="99">
        <v>2</v>
      </c>
      <c r="H3" s="99">
        <v>3</v>
      </c>
      <c r="I3" s="99">
        <v>4</v>
      </c>
      <c r="J3" s="99">
        <v>5</v>
      </c>
      <c r="K3" s="99">
        <v>6</v>
      </c>
      <c r="L3" s="99">
        <v>7</v>
      </c>
      <c r="M3" s="125" t="s">
        <v>190</v>
      </c>
      <c r="N3" s="99">
        <v>8</v>
      </c>
      <c r="O3" s="99">
        <v>9</v>
      </c>
      <c r="P3" s="99">
        <v>10</v>
      </c>
      <c r="Q3" s="99">
        <v>11</v>
      </c>
      <c r="R3" s="99">
        <v>12</v>
      </c>
      <c r="S3" s="99">
        <v>13</v>
      </c>
      <c r="T3" s="99">
        <v>14</v>
      </c>
      <c r="U3" s="125" t="s">
        <v>190</v>
      </c>
      <c r="V3" s="99">
        <v>15</v>
      </c>
      <c r="W3" s="99">
        <v>16</v>
      </c>
      <c r="X3" s="99">
        <v>17</v>
      </c>
      <c r="Y3" s="99">
        <v>18</v>
      </c>
      <c r="Z3" s="99">
        <v>19</v>
      </c>
      <c r="AA3" s="99">
        <v>20</v>
      </c>
      <c r="AB3" s="99">
        <v>21</v>
      </c>
      <c r="AC3" s="125" t="s">
        <v>213</v>
      </c>
      <c r="AD3" s="99">
        <v>22</v>
      </c>
      <c r="AE3" s="99">
        <v>23</v>
      </c>
      <c r="AF3" s="99">
        <v>24</v>
      </c>
      <c r="AG3" s="99">
        <v>25</v>
      </c>
      <c r="AH3" s="99">
        <v>26</v>
      </c>
      <c r="AI3" s="99">
        <v>27</v>
      </c>
      <c r="AJ3" s="99">
        <v>28</v>
      </c>
      <c r="AK3" s="125" t="s">
        <v>213</v>
      </c>
      <c r="AL3" s="99">
        <v>29</v>
      </c>
      <c r="AM3" s="99">
        <v>30</v>
      </c>
      <c r="AN3" s="99">
        <v>31</v>
      </c>
    </row>
    <row r="4" spans="1:40" x14ac:dyDescent="0.3">
      <c r="A4" s="97" t="s">
        <v>18</v>
      </c>
      <c r="B4" s="97"/>
      <c r="C4" s="97"/>
      <c r="D4" s="98"/>
      <c r="E4" s="125"/>
      <c r="F4" s="56" t="s">
        <v>214</v>
      </c>
      <c r="G4" s="56" t="s">
        <v>56</v>
      </c>
      <c r="H4" s="56" t="s">
        <v>57</v>
      </c>
      <c r="I4" s="56" t="s">
        <v>58</v>
      </c>
      <c r="J4" s="56" t="s">
        <v>59</v>
      </c>
      <c r="K4" s="56" t="s">
        <v>60</v>
      </c>
      <c r="L4" s="56" t="s">
        <v>54</v>
      </c>
      <c r="M4" s="125"/>
      <c r="N4" s="56" t="s">
        <v>215</v>
      </c>
      <c r="O4" s="56" t="s">
        <v>56</v>
      </c>
      <c r="P4" s="56" t="s">
        <v>57</v>
      </c>
      <c r="Q4" s="56" t="s">
        <v>58</v>
      </c>
      <c r="R4" s="56" t="s">
        <v>59</v>
      </c>
      <c r="S4" s="56" t="s">
        <v>60</v>
      </c>
      <c r="T4" s="56" t="s">
        <v>54</v>
      </c>
      <c r="U4" s="125"/>
      <c r="V4" s="56" t="s">
        <v>215</v>
      </c>
      <c r="W4" s="56" t="s">
        <v>56</v>
      </c>
      <c r="X4" s="56" t="s">
        <v>57</v>
      </c>
      <c r="Y4" s="56" t="s">
        <v>58</v>
      </c>
      <c r="Z4" s="56" t="s">
        <v>59</v>
      </c>
      <c r="AA4" s="56" t="s">
        <v>60</v>
      </c>
      <c r="AB4" s="56" t="s">
        <v>54</v>
      </c>
      <c r="AC4" s="125"/>
      <c r="AD4" s="56" t="s">
        <v>216</v>
      </c>
      <c r="AE4" s="56" t="s">
        <v>56</v>
      </c>
      <c r="AF4" s="56" t="s">
        <v>57</v>
      </c>
      <c r="AG4" s="56" t="s">
        <v>58</v>
      </c>
      <c r="AH4" s="56" t="s">
        <v>59</v>
      </c>
      <c r="AI4" s="56" t="s">
        <v>60</v>
      </c>
      <c r="AJ4" s="56" t="s">
        <v>54</v>
      </c>
      <c r="AK4" s="125"/>
      <c r="AL4" s="56" t="s">
        <v>215</v>
      </c>
      <c r="AM4" s="56" t="s">
        <v>217</v>
      </c>
      <c r="AN4" s="56"/>
    </row>
    <row r="5" spans="1:40" x14ac:dyDescent="0.3">
      <c r="A5" s="100" t="s">
        <v>31</v>
      </c>
      <c r="B5" s="100" t="s">
        <v>30</v>
      </c>
      <c r="C5" s="100"/>
      <c r="D5" s="101"/>
      <c r="E5" s="126"/>
      <c r="F5" s="102" t="s">
        <v>111</v>
      </c>
      <c r="G5" s="61" t="s">
        <v>194</v>
      </c>
      <c r="H5" s="61" t="s">
        <v>194</v>
      </c>
      <c r="I5" s="61" t="s">
        <v>167</v>
      </c>
      <c r="J5" s="61" t="s">
        <v>194</v>
      </c>
      <c r="K5" s="61" t="s">
        <v>194</v>
      </c>
      <c r="L5" s="61" t="s">
        <v>218</v>
      </c>
      <c r="M5" s="126"/>
      <c r="N5" s="61" t="s">
        <v>219</v>
      </c>
      <c r="O5" s="61" t="s">
        <v>220</v>
      </c>
      <c r="P5" s="61" t="s">
        <v>147</v>
      </c>
      <c r="Q5" s="61" t="s">
        <v>194</v>
      </c>
      <c r="R5" s="61" t="s">
        <v>168</v>
      </c>
      <c r="S5" s="61" t="s">
        <v>218</v>
      </c>
      <c r="T5" s="61" t="s">
        <v>193</v>
      </c>
      <c r="U5" s="126"/>
      <c r="V5" s="61" t="s">
        <v>218</v>
      </c>
      <c r="W5" s="102" t="s">
        <v>218</v>
      </c>
      <c r="X5" s="102" t="s">
        <v>218</v>
      </c>
      <c r="Y5" s="102" t="s">
        <v>193</v>
      </c>
      <c r="Z5" s="102" t="s">
        <v>194</v>
      </c>
      <c r="AA5" s="102" t="s">
        <v>218</v>
      </c>
      <c r="AB5" s="102" t="s">
        <v>193</v>
      </c>
      <c r="AC5" s="126"/>
      <c r="AD5" s="102" t="s">
        <v>218</v>
      </c>
      <c r="AE5" s="102" t="s">
        <v>218</v>
      </c>
      <c r="AF5" s="102" t="s">
        <v>194</v>
      </c>
      <c r="AG5" s="102" t="s">
        <v>111</v>
      </c>
      <c r="AH5" s="102" t="s">
        <v>193</v>
      </c>
      <c r="AI5" s="102" t="s">
        <v>218</v>
      </c>
      <c r="AJ5" s="102" t="s">
        <v>194</v>
      </c>
      <c r="AK5" s="126"/>
      <c r="AL5" s="102" t="s">
        <v>193</v>
      </c>
      <c r="AM5" s="102" t="s">
        <v>221</v>
      </c>
      <c r="AN5" s="102"/>
    </row>
    <row r="6" spans="1:40" x14ac:dyDescent="0.3">
      <c r="A6" s="100"/>
      <c r="B6" s="103" t="s">
        <v>21</v>
      </c>
      <c r="C6" s="103"/>
      <c r="D6" s="104">
        <f>SUM(F6:L6,N6:T6,V6:AB6,AD6:AJ6,AL6:AM6)</f>
        <v>2970</v>
      </c>
      <c r="E6" s="127">
        <f t="shared" ref="E6:E24" si="0">SUM(F6:L6)</f>
        <v>690</v>
      </c>
      <c r="F6" s="74">
        <v>40</v>
      </c>
      <c r="G6" s="74">
        <v>250</v>
      </c>
      <c r="H6" s="74">
        <v>0</v>
      </c>
      <c r="I6" s="74">
        <v>110</v>
      </c>
      <c r="J6" s="74">
        <v>40</v>
      </c>
      <c r="K6" s="74">
        <v>250</v>
      </c>
      <c r="L6" s="74">
        <v>0</v>
      </c>
      <c r="M6" s="127">
        <f t="shared" ref="M6:M24" si="1">SUM(N6:T6)</f>
        <v>720</v>
      </c>
      <c r="N6" s="74">
        <v>50</v>
      </c>
      <c r="O6" s="74">
        <v>30</v>
      </c>
      <c r="P6" s="74">
        <v>250</v>
      </c>
      <c r="Q6" s="128">
        <v>0</v>
      </c>
      <c r="R6" s="74">
        <v>50</v>
      </c>
      <c r="S6" s="74">
        <v>90</v>
      </c>
      <c r="T6" s="70">
        <v>250</v>
      </c>
      <c r="U6" s="127">
        <f t="shared" ref="U6:U24" si="2">SUM(V6:AB6)</f>
        <v>630</v>
      </c>
      <c r="V6" s="70">
        <v>0</v>
      </c>
      <c r="W6" s="129">
        <v>100</v>
      </c>
      <c r="X6" s="129">
        <v>80</v>
      </c>
      <c r="Y6" s="129">
        <v>200</v>
      </c>
      <c r="Z6" s="70">
        <v>0</v>
      </c>
      <c r="AA6" s="129">
        <v>200</v>
      </c>
      <c r="AB6" s="129">
        <v>50</v>
      </c>
      <c r="AC6" s="127">
        <f t="shared" ref="AC6:AC24" si="3">SUM(AD6:AJ6)</f>
        <v>800</v>
      </c>
      <c r="AD6" s="129">
        <v>200</v>
      </c>
      <c r="AE6" s="70">
        <v>0</v>
      </c>
      <c r="AF6" s="129">
        <v>250</v>
      </c>
      <c r="AG6" s="129">
        <v>50</v>
      </c>
      <c r="AH6" s="129">
        <v>200</v>
      </c>
      <c r="AI6" s="70">
        <v>0</v>
      </c>
      <c r="AJ6" s="129">
        <v>100</v>
      </c>
      <c r="AK6" s="127">
        <f t="shared" ref="AK6:AK24" si="4">SUM(AL6:AN6)</f>
        <v>130</v>
      </c>
      <c r="AL6" s="129">
        <v>40</v>
      </c>
      <c r="AM6" s="129">
        <v>90</v>
      </c>
      <c r="AN6" s="129"/>
    </row>
    <row r="7" spans="1:40" x14ac:dyDescent="0.3">
      <c r="A7" s="100"/>
      <c r="B7" s="103" t="s">
        <v>22</v>
      </c>
      <c r="C7" s="103"/>
      <c r="D7" s="104">
        <f t="shared" ref="D7:D27" si="5">SUM(F7:L7,N7:T7,V7:AB7,AD7:AJ7,AL7:AM7)</f>
        <v>39046</v>
      </c>
      <c r="E7" s="127">
        <f t="shared" si="0"/>
        <v>9489</v>
      </c>
      <c r="F7" s="74">
        <v>2260</v>
      </c>
      <c r="G7" s="74">
        <v>840</v>
      </c>
      <c r="H7" s="74">
        <v>1210</v>
      </c>
      <c r="I7" s="74">
        <v>1080</v>
      </c>
      <c r="J7" s="74">
        <v>1309</v>
      </c>
      <c r="K7" s="74">
        <v>1180</v>
      </c>
      <c r="L7" s="74">
        <v>1610</v>
      </c>
      <c r="M7" s="127">
        <f t="shared" si="1"/>
        <v>8230</v>
      </c>
      <c r="N7" s="74">
        <v>740</v>
      </c>
      <c r="O7" s="74">
        <v>560</v>
      </c>
      <c r="P7" s="74">
        <v>1420</v>
      </c>
      <c r="Q7" s="74">
        <v>1210</v>
      </c>
      <c r="R7" s="74">
        <v>930</v>
      </c>
      <c r="S7" s="74">
        <v>1890</v>
      </c>
      <c r="T7" s="70">
        <v>1480</v>
      </c>
      <c r="U7" s="127">
        <f t="shared" si="2"/>
        <v>9543</v>
      </c>
      <c r="V7" s="70">
        <v>1200</v>
      </c>
      <c r="W7" s="129">
        <v>1501</v>
      </c>
      <c r="X7" s="129">
        <v>1710</v>
      </c>
      <c r="Y7" s="129">
        <v>980</v>
      </c>
      <c r="Z7" s="129">
        <v>1302</v>
      </c>
      <c r="AA7" s="129">
        <v>1350</v>
      </c>
      <c r="AB7" s="129">
        <v>1500</v>
      </c>
      <c r="AC7" s="127">
        <f t="shared" si="3"/>
        <v>8734</v>
      </c>
      <c r="AD7" s="129">
        <v>620</v>
      </c>
      <c r="AE7" s="129">
        <v>1002</v>
      </c>
      <c r="AF7" s="129">
        <v>1100</v>
      </c>
      <c r="AG7" s="129">
        <v>1560</v>
      </c>
      <c r="AH7" s="129">
        <v>1420</v>
      </c>
      <c r="AI7" s="129">
        <v>1602</v>
      </c>
      <c r="AJ7" s="129">
        <v>1430</v>
      </c>
      <c r="AK7" s="127">
        <f t="shared" si="4"/>
        <v>3050</v>
      </c>
      <c r="AL7" s="129">
        <v>1630</v>
      </c>
      <c r="AM7" s="129">
        <v>1420</v>
      </c>
      <c r="AN7" s="129"/>
    </row>
    <row r="8" spans="1:40" x14ac:dyDescent="0.3">
      <c r="A8" s="100"/>
      <c r="B8" s="103" t="s">
        <v>24</v>
      </c>
      <c r="C8" s="103"/>
      <c r="D8" s="104">
        <f t="shared" si="5"/>
        <v>44420</v>
      </c>
      <c r="E8" s="127">
        <f t="shared" si="0"/>
        <v>12790</v>
      </c>
      <c r="F8" s="74">
        <v>1250</v>
      </c>
      <c r="G8" s="74">
        <v>1340</v>
      </c>
      <c r="H8" s="74">
        <v>3000</v>
      </c>
      <c r="I8" s="74">
        <v>1220</v>
      </c>
      <c r="J8" s="74">
        <v>1350</v>
      </c>
      <c r="K8" s="74">
        <v>1630</v>
      </c>
      <c r="L8" s="74">
        <v>3000</v>
      </c>
      <c r="M8" s="127">
        <f t="shared" si="1"/>
        <v>8780</v>
      </c>
      <c r="N8" s="74">
        <v>660</v>
      </c>
      <c r="O8" s="74">
        <v>480</v>
      </c>
      <c r="P8" s="74">
        <v>1280</v>
      </c>
      <c r="Q8" s="74">
        <v>3000</v>
      </c>
      <c r="R8" s="74">
        <v>600</v>
      </c>
      <c r="S8" s="74">
        <v>1350</v>
      </c>
      <c r="T8" s="70">
        <v>1410</v>
      </c>
      <c r="U8" s="127">
        <f t="shared" si="2"/>
        <v>10480</v>
      </c>
      <c r="V8" s="70">
        <v>3000</v>
      </c>
      <c r="W8" s="130">
        <v>800</v>
      </c>
      <c r="X8" s="130">
        <v>750</v>
      </c>
      <c r="Y8" s="130">
        <v>1190</v>
      </c>
      <c r="Z8" s="130">
        <v>3000</v>
      </c>
      <c r="AA8" s="130">
        <v>800</v>
      </c>
      <c r="AB8" s="130">
        <v>940</v>
      </c>
      <c r="AC8" s="127">
        <f t="shared" si="3"/>
        <v>10990</v>
      </c>
      <c r="AD8" s="130">
        <v>880</v>
      </c>
      <c r="AE8" s="130">
        <v>3000</v>
      </c>
      <c r="AF8" s="130">
        <v>1300</v>
      </c>
      <c r="AG8" s="130">
        <v>880</v>
      </c>
      <c r="AH8" s="130">
        <v>880</v>
      </c>
      <c r="AI8" s="130">
        <v>3000</v>
      </c>
      <c r="AJ8" s="130">
        <v>1050</v>
      </c>
      <c r="AK8" s="127">
        <f t="shared" si="4"/>
        <v>1380</v>
      </c>
      <c r="AL8" s="129">
        <v>740</v>
      </c>
      <c r="AM8" s="129">
        <v>640</v>
      </c>
      <c r="AN8" s="129"/>
    </row>
    <row r="9" spans="1:40" x14ac:dyDescent="0.3">
      <c r="A9" s="100"/>
      <c r="B9" s="103" t="s">
        <v>28</v>
      </c>
      <c r="C9" s="103"/>
      <c r="D9" s="104">
        <f t="shared" si="5"/>
        <v>11159</v>
      </c>
      <c r="E9" s="127">
        <f t="shared" si="0"/>
        <v>3750</v>
      </c>
      <c r="F9" s="74">
        <v>380</v>
      </c>
      <c r="G9" s="74">
        <v>200</v>
      </c>
      <c r="H9" s="74">
        <f>153+166</f>
        <v>319</v>
      </c>
      <c r="I9" s="90">
        <f>280+689</f>
        <v>969</v>
      </c>
      <c r="J9" s="74">
        <f>166+336</f>
        <v>502</v>
      </c>
      <c r="K9" s="74">
        <v>480</v>
      </c>
      <c r="L9" s="74">
        <f>449+451</f>
        <v>900</v>
      </c>
      <c r="M9" s="127">
        <f t="shared" si="1"/>
        <v>2150</v>
      </c>
      <c r="N9" s="74">
        <v>353</v>
      </c>
      <c r="O9" s="74">
        <v>150</v>
      </c>
      <c r="P9" s="74">
        <v>175</v>
      </c>
      <c r="Q9" s="74">
        <f>161+166</f>
        <v>327</v>
      </c>
      <c r="R9" s="74">
        <v>305</v>
      </c>
      <c r="S9" s="74">
        <v>380</v>
      </c>
      <c r="T9" s="70">
        <v>460</v>
      </c>
      <c r="U9" s="127">
        <f t="shared" si="2"/>
        <v>2186</v>
      </c>
      <c r="V9" s="70">
        <v>327</v>
      </c>
      <c r="W9" s="130">
        <v>225</v>
      </c>
      <c r="X9" s="130">
        <v>260</v>
      </c>
      <c r="Y9" s="130">
        <v>280</v>
      </c>
      <c r="Z9" s="130">
        <v>549</v>
      </c>
      <c r="AA9" s="130">
        <v>295</v>
      </c>
      <c r="AB9" s="130">
        <v>250</v>
      </c>
      <c r="AC9" s="127">
        <f t="shared" si="3"/>
        <v>2738</v>
      </c>
      <c r="AD9" s="130">
        <v>250</v>
      </c>
      <c r="AE9" s="130">
        <v>449</v>
      </c>
      <c r="AF9" s="130">
        <v>265</v>
      </c>
      <c r="AG9" s="130">
        <v>280</v>
      </c>
      <c r="AH9" s="130">
        <v>250</v>
      </c>
      <c r="AI9" s="130">
        <v>1049</v>
      </c>
      <c r="AJ9" s="130">
        <v>195</v>
      </c>
      <c r="AK9" s="127">
        <f t="shared" si="4"/>
        <v>335</v>
      </c>
      <c r="AL9" s="130">
        <v>220</v>
      </c>
      <c r="AM9" s="130">
        <v>115</v>
      </c>
      <c r="AN9" s="130"/>
    </row>
    <row r="10" spans="1:40" x14ac:dyDescent="0.3">
      <c r="A10" s="100"/>
      <c r="B10" s="107" t="s">
        <v>17</v>
      </c>
      <c r="C10" s="107"/>
      <c r="D10" s="104">
        <f t="shared" si="5"/>
        <v>0</v>
      </c>
      <c r="E10" s="127">
        <f t="shared" si="0"/>
        <v>0</v>
      </c>
      <c r="F10" s="130"/>
      <c r="G10" s="74"/>
      <c r="H10" s="130"/>
      <c r="I10" s="130"/>
      <c r="J10" s="74"/>
      <c r="K10" s="130"/>
      <c r="L10" s="130"/>
      <c r="M10" s="127">
        <f t="shared" si="1"/>
        <v>0</v>
      </c>
      <c r="N10" s="130"/>
      <c r="O10" s="130"/>
      <c r="P10" s="74"/>
      <c r="Q10" s="130"/>
      <c r="R10" s="130"/>
      <c r="S10" s="130"/>
      <c r="T10" s="130"/>
      <c r="U10" s="127">
        <f t="shared" si="2"/>
        <v>0</v>
      </c>
      <c r="V10" s="130"/>
      <c r="W10" s="130"/>
      <c r="X10" s="130"/>
      <c r="Y10" s="130"/>
      <c r="Z10" s="130"/>
      <c r="AA10" s="130"/>
      <c r="AB10" s="130"/>
      <c r="AC10" s="127">
        <f t="shared" si="3"/>
        <v>0</v>
      </c>
      <c r="AD10" s="130"/>
      <c r="AE10" s="130"/>
      <c r="AF10" s="130"/>
      <c r="AG10" s="130"/>
      <c r="AH10" s="130"/>
      <c r="AI10" s="130"/>
      <c r="AJ10" s="130"/>
      <c r="AK10" s="127">
        <f t="shared" si="4"/>
        <v>0</v>
      </c>
      <c r="AL10" s="130"/>
      <c r="AM10" s="130"/>
      <c r="AN10" s="130"/>
    </row>
    <row r="11" spans="1:40" x14ac:dyDescent="0.3">
      <c r="A11" s="100"/>
      <c r="B11" s="107" t="s">
        <v>38</v>
      </c>
      <c r="C11" s="107"/>
      <c r="D11" s="104">
        <f t="shared" si="5"/>
        <v>0</v>
      </c>
      <c r="E11" s="127">
        <f t="shared" si="0"/>
        <v>0</v>
      </c>
      <c r="F11" s="130"/>
      <c r="G11" s="74"/>
      <c r="H11" s="130"/>
      <c r="I11" s="130"/>
      <c r="J11" s="74"/>
      <c r="K11" s="130"/>
      <c r="L11" s="130"/>
      <c r="M11" s="127">
        <f t="shared" si="1"/>
        <v>0</v>
      </c>
      <c r="N11" s="130"/>
      <c r="O11" s="130"/>
      <c r="P11" s="130"/>
      <c r="Q11" s="130"/>
      <c r="R11" s="130"/>
      <c r="S11" s="130"/>
      <c r="T11" s="130"/>
      <c r="U11" s="127">
        <f t="shared" si="2"/>
        <v>0</v>
      </c>
      <c r="V11" s="130"/>
      <c r="W11" s="130"/>
      <c r="X11" s="130"/>
      <c r="Y11" s="130"/>
      <c r="Z11" s="130"/>
      <c r="AA11" s="130"/>
      <c r="AB11" s="130"/>
      <c r="AC11" s="127">
        <f t="shared" si="3"/>
        <v>0</v>
      </c>
      <c r="AD11" s="130"/>
      <c r="AE11" s="130"/>
      <c r="AF11" s="130"/>
      <c r="AG11" s="130"/>
      <c r="AH11" s="130"/>
      <c r="AI11" s="130"/>
      <c r="AJ11" s="130"/>
      <c r="AK11" s="127">
        <f t="shared" si="4"/>
        <v>0</v>
      </c>
      <c r="AL11" s="130"/>
      <c r="AM11" s="130"/>
      <c r="AN11" s="130"/>
    </row>
    <row r="12" spans="1:40" x14ac:dyDescent="0.3">
      <c r="A12" s="100"/>
      <c r="B12" s="107" t="s">
        <v>116</v>
      </c>
      <c r="C12" s="107"/>
      <c r="D12" s="104">
        <f t="shared" si="5"/>
        <v>0</v>
      </c>
      <c r="E12" s="127">
        <f t="shared" si="0"/>
        <v>0</v>
      </c>
      <c r="F12" s="130"/>
      <c r="G12" s="74"/>
      <c r="H12" s="130"/>
      <c r="I12" s="130"/>
      <c r="J12" s="74"/>
      <c r="K12" s="130"/>
      <c r="L12" s="130"/>
      <c r="M12" s="127">
        <f t="shared" si="1"/>
        <v>0</v>
      </c>
      <c r="N12" s="130"/>
      <c r="O12" s="130"/>
      <c r="P12" s="130"/>
      <c r="Q12" s="130"/>
      <c r="R12" s="130"/>
      <c r="S12" s="130"/>
      <c r="T12" s="130"/>
      <c r="U12" s="127">
        <f t="shared" si="2"/>
        <v>0</v>
      </c>
      <c r="V12" s="130"/>
      <c r="W12" s="130"/>
      <c r="X12" s="130"/>
      <c r="Y12" s="130"/>
      <c r="Z12" s="130"/>
      <c r="AA12" s="130"/>
      <c r="AB12" s="130"/>
      <c r="AC12" s="127">
        <f t="shared" si="3"/>
        <v>0</v>
      </c>
      <c r="AD12" s="130"/>
      <c r="AE12" s="130"/>
      <c r="AF12" s="130"/>
      <c r="AG12" s="130"/>
      <c r="AH12" s="130"/>
      <c r="AI12" s="130"/>
      <c r="AJ12" s="130"/>
      <c r="AK12" s="127">
        <f t="shared" si="4"/>
        <v>0</v>
      </c>
      <c r="AL12" s="130"/>
      <c r="AM12" s="130"/>
      <c r="AN12" s="130"/>
    </row>
    <row r="13" spans="1:40" x14ac:dyDescent="0.3">
      <c r="A13" s="100"/>
      <c r="B13" s="107" t="s">
        <v>46</v>
      </c>
      <c r="C13" s="107"/>
      <c r="D13" s="104">
        <f t="shared" si="5"/>
        <v>0</v>
      </c>
      <c r="E13" s="127">
        <f t="shared" si="0"/>
        <v>0</v>
      </c>
      <c r="F13" s="130"/>
      <c r="G13" s="74"/>
      <c r="H13" s="130"/>
      <c r="I13" s="130"/>
      <c r="J13" s="74"/>
      <c r="K13" s="130"/>
      <c r="L13" s="130"/>
      <c r="M13" s="127">
        <f t="shared" si="1"/>
        <v>0</v>
      </c>
      <c r="N13" s="130"/>
      <c r="O13" s="130"/>
      <c r="P13" s="130"/>
      <c r="Q13" s="130"/>
      <c r="R13" s="130"/>
      <c r="S13" s="130"/>
      <c r="T13" s="130"/>
      <c r="U13" s="127">
        <f t="shared" si="2"/>
        <v>0</v>
      </c>
      <c r="V13" s="130"/>
      <c r="W13" s="130"/>
      <c r="X13" s="130"/>
      <c r="Y13" s="130"/>
      <c r="Z13" s="130"/>
      <c r="AA13" s="130"/>
      <c r="AB13" s="130"/>
      <c r="AC13" s="127">
        <f t="shared" si="3"/>
        <v>0</v>
      </c>
      <c r="AD13" s="130"/>
      <c r="AE13" s="130"/>
      <c r="AF13" s="130"/>
      <c r="AG13" s="130"/>
      <c r="AH13" s="130"/>
      <c r="AI13" s="130"/>
      <c r="AJ13" s="130"/>
      <c r="AK13" s="127">
        <f t="shared" si="4"/>
        <v>0</v>
      </c>
      <c r="AL13" s="130"/>
      <c r="AM13" s="130"/>
      <c r="AN13" s="130"/>
    </row>
    <row r="14" spans="1:40" x14ac:dyDescent="0.3">
      <c r="A14" s="100"/>
      <c r="B14" s="107" t="s">
        <v>3</v>
      </c>
      <c r="C14" s="107"/>
      <c r="D14" s="104">
        <f t="shared" si="5"/>
        <v>0</v>
      </c>
      <c r="E14" s="127">
        <f t="shared" si="0"/>
        <v>0</v>
      </c>
      <c r="F14" s="130"/>
      <c r="G14" s="74"/>
      <c r="H14" s="130"/>
      <c r="I14" s="130"/>
      <c r="J14" s="74"/>
      <c r="K14" s="130"/>
      <c r="L14" s="130"/>
      <c r="M14" s="127">
        <f t="shared" si="1"/>
        <v>0</v>
      </c>
      <c r="N14" s="130"/>
      <c r="O14" s="130"/>
      <c r="P14" s="130"/>
      <c r="Q14" s="130"/>
      <c r="R14" s="130"/>
      <c r="S14" s="130"/>
      <c r="T14" s="130"/>
      <c r="U14" s="127">
        <f t="shared" si="2"/>
        <v>0</v>
      </c>
      <c r="V14" s="130"/>
      <c r="W14" s="130"/>
      <c r="X14" s="130"/>
      <c r="Y14" s="130"/>
      <c r="Z14" s="130"/>
      <c r="AA14" s="130"/>
      <c r="AB14" s="130"/>
      <c r="AC14" s="127">
        <f t="shared" si="3"/>
        <v>0</v>
      </c>
      <c r="AD14" s="130"/>
      <c r="AE14" s="130"/>
      <c r="AF14" s="130"/>
      <c r="AG14" s="130"/>
      <c r="AH14" s="130"/>
      <c r="AI14" s="130"/>
      <c r="AJ14" s="130"/>
      <c r="AK14" s="127">
        <f t="shared" si="4"/>
        <v>0</v>
      </c>
      <c r="AL14" s="130"/>
      <c r="AM14" s="130"/>
      <c r="AN14" s="130"/>
    </row>
    <row r="15" spans="1:40" x14ac:dyDescent="0.3">
      <c r="A15" s="100"/>
      <c r="B15" s="107" t="s">
        <v>198</v>
      </c>
      <c r="C15" s="107"/>
      <c r="D15" s="104">
        <f t="shared" si="5"/>
        <v>0</v>
      </c>
      <c r="E15" s="127">
        <f t="shared" si="0"/>
        <v>0</v>
      </c>
      <c r="F15" s="130"/>
      <c r="G15" s="74"/>
      <c r="H15" s="130"/>
      <c r="I15" s="130"/>
      <c r="J15" s="74"/>
      <c r="K15" s="130"/>
      <c r="L15" s="130"/>
      <c r="M15" s="127">
        <f t="shared" si="1"/>
        <v>0</v>
      </c>
      <c r="N15" s="130"/>
      <c r="O15" s="130"/>
      <c r="P15" s="130"/>
      <c r="Q15" s="130"/>
      <c r="R15" s="130"/>
      <c r="S15" s="130"/>
      <c r="T15" s="130"/>
      <c r="U15" s="127">
        <f t="shared" si="2"/>
        <v>0</v>
      </c>
      <c r="V15" s="130"/>
      <c r="W15" s="130"/>
      <c r="X15" s="130"/>
      <c r="Y15" s="130"/>
      <c r="Z15" s="130"/>
      <c r="AA15" s="130"/>
      <c r="AB15" s="130"/>
      <c r="AC15" s="127">
        <f t="shared" si="3"/>
        <v>0</v>
      </c>
      <c r="AD15" s="130"/>
      <c r="AE15" s="130"/>
      <c r="AF15" s="130"/>
      <c r="AG15" s="130"/>
      <c r="AH15" s="130"/>
      <c r="AI15" s="130"/>
      <c r="AJ15" s="130"/>
      <c r="AK15" s="127">
        <f t="shared" si="4"/>
        <v>0</v>
      </c>
      <c r="AL15" s="130"/>
      <c r="AM15" s="130"/>
      <c r="AN15" s="130"/>
    </row>
    <row r="16" spans="1:40" x14ac:dyDescent="0.3">
      <c r="A16" s="100"/>
      <c r="B16" s="107" t="s">
        <v>118</v>
      </c>
      <c r="C16" s="107"/>
      <c r="D16" s="104">
        <f t="shared" si="5"/>
        <v>0</v>
      </c>
      <c r="E16" s="127">
        <f t="shared" si="0"/>
        <v>0</v>
      </c>
      <c r="F16" s="130"/>
      <c r="G16" s="74"/>
      <c r="H16" s="130"/>
      <c r="I16" s="130"/>
      <c r="J16" s="74"/>
      <c r="K16" s="130"/>
      <c r="L16" s="130"/>
      <c r="M16" s="127">
        <f t="shared" si="1"/>
        <v>0</v>
      </c>
      <c r="N16" s="130"/>
      <c r="O16" s="130"/>
      <c r="P16" s="130"/>
      <c r="Q16" s="130"/>
      <c r="R16" s="130"/>
      <c r="S16" s="130"/>
      <c r="T16" s="130"/>
      <c r="U16" s="127">
        <f t="shared" si="2"/>
        <v>0</v>
      </c>
      <c r="V16" s="130"/>
      <c r="W16" s="130"/>
      <c r="X16" s="130"/>
      <c r="Y16" s="130"/>
      <c r="Z16" s="130"/>
      <c r="AA16" s="130"/>
      <c r="AB16" s="130"/>
      <c r="AC16" s="127">
        <f t="shared" si="3"/>
        <v>0</v>
      </c>
      <c r="AD16" s="130"/>
      <c r="AE16" s="130"/>
      <c r="AF16" s="130"/>
      <c r="AG16" s="130"/>
      <c r="AH16" s="130"/>
      <c r="AI16" s="130"/>
      <c r="AJ16" s="130"/>
      <c r="AK16" s="127">
        <f t="shared" si="4"/>
        <v>0</v>
      </c>
      <c r="AL16" s="130"/>
      <c r="AM16" s="130"/>
      <c r="AN16" s="130"/>
    </row>
    <row r="17" spans="1:40" x14ac:dyDescent="0.3">
      <c r="A17" s="100"/>
      <c r="B17" s="107" t="s">
        <v>13</v>
      </c>
      <c r="C17" s="107"/>
      <c r="D17" s="104">
        <f t="shared" si="5"/>
        <v>0</v>
      </c>
      <c r="E17" s="127">
        <f t="shared" si="0"/>
        <v>0</v>
      </c>
      <c r="F17" s="130"/>
      <c r="G17" s="74"/>
      <c r="H17" s="130"/>
      <c r="I17" s="130"/>
      <c r="J17" s="74"/>
      <c r="K17" s="130"/>
      <c r="L17" s="130"/>
      <c r="M17" s="127">
        <f t="shared" si="1"/>
        <v>0</v>
      </c>
      <c r="N17" s="130"/>
      <c r="O17" s="130"/>
      <c r="P17" s="130"/>
      <c r="Q17" s="130"/>
      <c r="R17" s="130"/>
      <c r="S17" s="130"/>
      <c r="T17" s="130"/>
      <c r="U17" s="127">
        <f t="shared" si="2"/>
        <v>0</v>
      </c>
      <c r="V17" s="130"/>
      <c r="W17" s="130"/>
      <c r="X17" s="130"/>
      <c r="Y17" s="130"/>
      <c r="Z17" s="130"/>
      <c r="AA17" s="130"/>
      <c r="AB17" s="130"/>
      <c r="AC17" s="127">
        <f t="shared" si="3"/>
        <v>0</v>
      </c>
      <c r="AD17" s="130"/>
      <c r="AE17" s="130"/>
      <c r="AF17" s="130"/>
      <c r="AG17" s="130"/>
      <c r="AH17" s="130"/>
      <c r="AI17" s="130"/>
      <c r="AJ17" s="130"/>
      <c r="AK17" s="127">
        <f t="shared" si="4"/>
        <v>0</v>
      </c>
      <c r="AL17" s="130"/>
      <c r="AM17" s="130"/>
      <c r="AN17" s="130"/>
    </row>
    <row r="18" spans="1:40" x14ac:dyDescent="0.3">
      <c r="A18" s="100"/>
      <c r="B18" s="107" t="s">
        <v>26</v>
      </c>
      <c r="C18" s="107"/>
      <c r="D18" s="104">
        <f t="shared" si="5"/>
        <v>0</v>
      </c>
      <c r="E18" s="127">
        <f t="shared" si="0"/>
        <v>0</v>
      </c>
      <c r="F18" s="130"/>
      <c r="G18" s="74"/>
      <c r="H18" s="130"/>
      <c r="I18" s="130"/>
      <c r="J18" s="74"/>
      <c r="K18" s="130"/>
      <c r="L18" s="130"/>
      <c r="M18" s="127">
        <f t="shared" si="1"/>
        <v>0</v>
      </c>
      <c r="N18" s="74"/>
      <c r="O18" s="130"/>
      <c r="P18" s="130"/>
      <c r="Q18" s="130"/>
      <c r="R18" s="130"/>
      <c r="S18" s="130"/>
      <c r="T18" s="130"/>
      <c r="U18" s="127">
        <f t="shared" si="2"/>
        <v>0</v>
      </c>
      <c r="V18" s="130"/>
      <c r="W18" s="130"/>
      <c r="X18" s="130"/>
      <c r="Y18" s="130"/>
      <c r="Z18" s="130"/>
      <c r="AA18" s="130"/>
      <c r="AB18" s="130"/>
      <c r="AC18" s="127">
        <f t="shared" si="3"/>
        <v>0</v>
      </c>
      <c r="AD18" s="130"/>
      <c r="AE18" s="130"/>
      <c r="AF18" s="130"/>
      <c r="AG18" s="130"/>
      <c r="AH18" s="130"/>
      <c r="AI18" s="130"/>
      <c r="AJ18" s="130"/>
      <c r="AK18" s="127">
        <f t="shared" si="4"/>
        <v>0</v>
      </c>
      <c r="AL18" s="130"/>
      <c r="AM18" s="130"/>
      <c r="AN18" s="130"/>
    </row>
    <row r="19" spans="1:40" x14ac:dyDescent="0.3">
      <c r="A19" s="100"/>
      <c r="B19" s="103" t="s">
        <v>1</v>
      </c>
      <c r="C19" s="103"/>
      <c r="D19" s="104">
        <f t="shared" si="5"/>
        <v>80836</v>
      </c>
      <c r="E19" s="127">
        <f t="shared" si="0"/>
        <v>24586</v>
      </c>
      <c r="F19" s="74">
        <v>2810</v>
      </c>
      <c r="G19" s="74">
        <v>3060</v>
      </c>
      <c r="H19" s="74">
        <v>3458</v>
      </c>
      <c r="I19" s="74">
        <v>3910</v>
      </c>
      <c r="J19" s="74">
        <v>2900</v>
      </c>
      <c r="K19" s="74">
        <f>2600+1490</f>
        <v>4090</v>
      </c>
      <c r="L19" s="74">
        <f>2358+2000</f>
        <v>4358</v>
      </c>
      <c r="M19" s="127">
        <f t="shared" si="1"/>
        <v>20488</v>
      </c>
      <c r="N19" s="74">
        <v>1590</v>
      </c>
      <c r="O19" s="74">
        <v>620</v>
      </c>
      <c r="P19" s="74">
        <f>2450+1420</f>
        <v>3870</v>
      </c>
      <c r="Q19" s="74">
        <f>1100+2358</f>
        <v>3458</v>
      </c>
      <c r="R19" s="74">
        <v>1990</v>
      </c>
      <c r="S19" s="74">
        <f>1960+1160</f>
        <v>3120</v>
      </c>
      <c r="T19" s="70">
        <f>2120+3720</f>
        <v>5840</v>
      </c>
      <c r="U19" s="127">
        <f t="shared" si="2"/>
        <v>16576</v>
      </c>
      <c r="V19" s="70">
        <v>3458</v>
      </c>
      <c r="W19" s="130">
        <v>2380</v>
      </c>
      <c r="X19" s="130">
        <v>1660</v>
      </c>
      <c r="Y19" s="130">
        <v>2490</v>
      </c>
      <c r="Z19" s="130">
        <v>2358</v>
      </c>
      <c r="AA19" s="130">
        <v>2500</v>
      </c>
      <c r="AB19" s="130">
        <v>1730</v>
      </c>
      <c r="AC19" s="127">
        <f t="shared" si="3"/>
        <v>15306</v>
      </c>
      <c r="AD19" s="130">
        <v>2220</v>
      </c>
      <c r="AE19" s="130">
        <v>2358</v>
      </c>
      <c r="AF19" s="130">
        <v>2500</v>
      </c>
      <c r="AG19" s="130">
        <v>1270</v>
      </c>
      <c r="AH19" s="130">
        <v>2220</v>
      </c>
      <c r="AI19" s="130">
        <v>2358</v>
      </c>
      <c r="AJ19" s="130">
        <v>2380</v>
      </c>
      <c r="AK19" s="127">
        <f t="shared" si="4"/>
        <v>3880</v>
      </c>
      <c r="AL19" s="130">
        <v>1560</v>
      </c>
      <c r="AM19" s="130">
        <v>2320</v>
      </c>
      <c r="AN19" s="130"/>
    </row>
    <row r="20" spans="1:40" x14ac:dyDescent="0.3">
      <c r="A20" s="100"/>
      <c r="B20" s="107" t="s">
        <v>137</v>
      </c>
      <c r="C20" s="107"/>
      <c r="D20" s="104">
        <f t="shared" si="5"/>
        <v>0</v>
      </c>
      <c r="E20" s="127">
        <f t="shared" si="0"/>
        <v>0</v>
      </c>
      <c r="F20" s="74"/>
      <c r="G20" s="74"/>
      <c r="H20" s="74"/>
      <c r="I20" s="74"/>
      <c r="J20" s="74"/>
      <c r="K20" s="74"/>
      <c r="L20" s="74"/>
      <c r="M20" s="127">
        <f t="shared" si="1"/>
        <v>0</v>
      </c>
      <c r="N20" s="74"/>
      <c r="O20" s="74"/>
      <c r="P20" s="74"/>
      <c r="Q20" s="74"/>
      <c r="R20" s="74"/>
      <c r="S20" s="74"/>
      <c r="T20" s="70"/>
      <c r="U20" s="127">
        <f t="shared" si="2"/>
        <v>0</v>
      </c>
      <c r="V20" s="70"/>
      <c r="W20" s="130"/>
      <c r="X20" s="130"/>
      <c r="Y20" s="130"/>
      <c r="Z20" s="130"/>
      <c r="AA20" s="130"/>
      <c r="AB20" s="130"/>
      <c r="AC20" s="127">
        <f t="shared" si="3"/>
        <v>0</v>
      </c>
      <c r="AD20" s="130"/>
      <c r="AE20" s="130"/>
      <c r="AF20" s="130"/>
      <c r="AG20" s="130"/>
      <c r="AH20" s="130"/>
      <c r="AI20" s="130"/>
      <c r="AJ20" s="130"/>
      <c r="AK20" s="127">
        <f t="shared" si="4"/>
        <v>0</v>
      </c>
      <c r="AL20" s="130"/>
      <c r="AM20" s="130"/>
      <c r="AN20" s="130"/>
    </row>
    <row r="21" spans="1:40" x14ac:dyDescent="0.3">
      <c r="A21" s="100"/>
      <c r="B21" s="108" t="s">
        <v>222</v>
      </c>
      <c r="C21" s="109"/>
      <c r="D21" s="104">
        <f t="shared" si="5"/>
        <v>4714</v>
      </c>
      <c r="E21" s="127">
        <f t="shared" si="0"/>
        <v>1963</v>
      </c>
      <c r="F21" s="74">
        <v>73</v>
      </c>
      <c r="G21" s="74">
        <v>70</v>
      </c>
      <c r="H21" s="74">
        <v>485</v>
      </c>
      <c r="I21" s="74">
        <v>285</v>
      </c>
      <c r="J21" s="74">
        <v>470</v>
      </c>
      <c r="K21" s="74">
        <v>85</v>
      </c>
      <c r="L21" s="74">
        <v>495</v>
      </c>
      <c r="M21" s="127">
        <f t="shared" si="1"/>
        <v>859</v>
      </c>
      <c r="N21" s="74">
        <v>50</v>
      </c>
      <c r="O21" s="74">
        <v>35</v>
      </c>
      <c r="P21" s="74">
        <v>85</v>
      </c>
      <c r="Q21" s="74">
        <v>485</v>
      </c>
      <c r="R21" s="74">
        <v>58</v>
      </c>
      <c r="S21" s="74">
        <v>61</v>
      </c>
      <c r="T21" s="70">
        <v>85</v>
      </c>
      <c r="U21" s="127">
        <f t="shared" si="2"/>
        <v>1015</v>
      </c>
      <c r="V21" s="70">
        <v>485</v>
      </c>
      <c r="W21" s="130">
        <v>51</v>
      </c>
      <c r="X21" s="130">
        <v>28</v>
      </c>
      <c r="Y21" s="130">
        <v>60</v>
      </c>
      <c r="Z21" s="130">
        <v>300</v>
      </c>
      <c r="AA21" s="130">
        <v>59</v>
      </c>
      <c r="AB21" s="130">
        <v>32</v>
      </c>
      <c r="AC21" s="127">
        <f t="shared" si="3"/>
        <v>798</v>
      </c>
      <c r="AD21" s="130">
        <v>60</v>
      </c>
      <c r="AE21" s="130">
        <v>136</v>
      </c>
      <c r="AF21" s="130">
        <v>64</v>
      </c>
      <c r="AG21" s="130">
        <v>32</v>
      </c>
      <c r="AH21" s="130">
        <v>60</v>
      </c>
      <c r="AI21" s="130">
        <v>400</v>
      </c>
      <c r="AJ21" s="130">
        <v>46</v>
      </c>
      <c r="AK21" s="127">
        <f t="shared" si="4"/>
        <v>79</v>
      </c>
      <c r="AL21" s="130">
        <v>19</v>
      </c>
      <c r="AM21" s="130">
        <v>60</v>
      </c>
      <c r="AN21" s="130"/>
    </row>
    <row r="22" spans="1:40" x14ac:dyDescent="0.3">
      <c r="A22" s="100"/>
      <c r="B22" s="103" t="s">
        <v>15</v>
      </c>
      <c r="C22" s="103"/>
      <c r="D22" s="104">
        <f t="shared" si="5"/>
        <v>15840</v>
      </c>
      <c r="E22" s="127">
        <f t="shared" si="0"/>
        <v>6220</v>
      </c>
      <c r="F22" s="74">
        <v>320</v>
      </c>
      <c r="G22" s="74">
        <v>520</v>
      </c>
      <c r="H22" s="74">
        <v>870</v>
      </c>
      <c r="I22" s="74">
        <v>880</v>
      </c>
      <c r="J22" s="74">
        <f>595+505</f>
        <v>1100</v>
      </c>
      <c r="K22" s="74">
        <f>215+375</f>
        <v>590</v>
      </c>
      <c r="L22" s="74">
        <v>1940</v>
      </c>
      <c r="M22" s="127">
        <f t="shared" si="1"/>
        <v>3345</v>
      </c>
      <c r="N22" s="74">
        <v>440</v>
      </c>
      <c r="O22" s="74">
        <v>35</v>
      </c>
      <c r="P22" s="74">
        <f>335+215</f>
        <v>550</v>
      </c>
      <c r="Q22" s="74">
        <f>505+635</f>
        <v>1140</v>
      </c>
      <c r="R22" s="74">
        <v>370</v>
      </c>
      <c r="S22" s="74">
        <v>260</v>
      </c>
      <c r="T22" s="70">
        <f>215+335</f>
        <v>550</v>
      </c>
      <c r="U22" s="127">
        <f t="shared" si="2"/>
        <v>2890</v>
      </c>
      <c r="V22" s="70">
        <v>1140</v>
      </c>
      <c r="W22" s="130">
        <v>200</v>
      </c>
      <c r="X22" s="130">
        <v>120</v>
      </c>
      <c r="Y22" s="130">
        <v>225</v>
      </c>
      <c r="Z22" s="130">
        <v>625</v>
      </c>
      <c r="AA22" s="130">
        <v>390</v>
      </c>
      <c r="AB22" s="130">
        <v>190</v>
      </c>
      <c r="AC22" s="127">
        <f t="shared" si="3"/>
        <v>2915</v>
      </c>
      <c r="AD22" s="129">
        <v>225</v>
      </c>
      <c r="AE22" s="129">
        <v>240</v>
      </c>
      <c r="AF22" s="129">
        <v>260</v>
      </c>
      <c r="AG22" s="129">
        <v>150</v>
      </c>
      <c r="AH22" s="129">
        <v>225</v>
      </c>
      <c r="AI22" s="129">
        <v>1615</v>
      </c>
      <c r="AJ22" s="129">
        <v>200</v>
      </c>
      <c r="AK22" s="127">
        <f t="shared" si="4"/>
        <v>470</v>
      </c>
      <c r="AL22" s="129">
        <v>160</v>
      </c>
      <c r="AM22" s="129">
        <v>310</v>
      </c>
      <c r="AN22" s="129"/>
    </row>
    <row r="23" spans="1:40" x14ac:dyDescent="0.3">
      <c r="A23" s="100"/>
      <c r="B23" s="103" t="s">
        <v>9</v>
      </c>
      <c r="C23" s="103"/>
      <c r="D23" s="104">
        <f t="shared" si="5"/>
        <v>3141</v>
      </c>
      <c r="E23" s="127">
        <f t="shared" si="0"/>
        <v>1123</v>
      </c>
      <c r="F23" s="74">
        <v>108</v>
      </c>
      <c r="G23" s="74">
        <v>140</v>
      </c>
      <c r="H23" s="74">
        <v>180</v>
      </c>
      <c r="I23" s="74">
        <v>150</v>
      </c>
      <c r="J23" s="74">
        <f>140</f>
        <v>140</v>
      </c>
      <c r="K23" s="74">
        <v>135</v>
      </c>
      <c r="L23" s="74">
        <v>270</v>
      </c>
      <c r="M23" s="127">
        <f t="shared" si="1"/>
        <v>680</v>
      </c>
      <c r="N23" s="74">
        <v>44</v>
      </c>
      <c r="O23" s="74">
        <v>40</v>
      </c>
      <c r="P23" s="74">
        <v>135</v>
      </c>
      <c r="Q23" s="74">
        <v>190</v>
      </c>
      <c r="R23" s="74">
        <v>46</v>
      </c>
      <c r="S23" s="74">
        <v>90</v>
      </c>
      <c r="T23" s="70">
        <v>135</v>
      </c>
      <c r="U23" s="127">
        <f t="shared" si="2"/>
        <v>630</v>
      </c>
      <c r="V23" s="70">
        <v>190</v>
      </c>
      <c r="W23" s="129">
        <v>38</v>
      </c>
      <c r="X23" s="129">
        <v>40</v>
      </c>
      <c r="Y23" s="129">
        <v>95</v>
      </c>
      <c r="Z23" s="129">
        <v>170</v>
      </c>
      <c r="AA23" s="129">
        <v>47</v>
      </c>
      <c r="AB23" s="129">
        <v>50</v>
      </c>
      <c r="AC23" s="127">
        <f t="shared" si="3"/>
        <v>573</v>
      </c>
      <c r="AD23" s="129">
        <v>95</v>
      </c>
      <c r="AE23" s="129">
        <v>130</v>
      </c>
      <c r="AF23" s="129">
        <v>30</v>
      </c>
      <c r="AG23" s="129">
        <v>45</v>
      </c>
      <c r="AH23" s="129">
        <v>95</v>
      </c>
      <c r="AI23" s="129">
        <v>140</v>
      </c>
      <c r="AJ23" s="129">
        <v>38</v>
      </c>
      <c r="AK23" s="127">
        <f t="shared" si="4"/>
        <v>135</v>
      </c>
      <c r="AL23" s="129">
        <v>45</v>
      </c>
      <c r="AM23" s="129">
        <v>90</v>
      </c>
      <c r="AN23" s="129"/>
    </row>
    <row r="24" spans="1:40" x14ac:dyDescent="0.3">
      <c r="A24" s="100"/>
      <c r="B24" s="100" t="s">
        <v>35</v>
      </c>
      <c r="C24" s="100"/>
      <c r="D24" s="104">
        <f t="shared" si="5"/>
        <v>0</v>
      </c>
      <c r="E24" s="127">
        <f t="shared" si="0"/>
        <v>0</v>
      </c>
      <c r="F24" s="129"/>
      <c r="G24" s="129"/>
      <c r="H24" s="129"/>
      <c r="I24" s="129"/>
      <c r="J24" s="129"/>
      <c r="K24" s="129"/>
      <c r="L24" s="129"/>
      <c r="M24" s="127">
        <f t="shared" si="1"/>
        <v>0</v>
      </c>
      <c r="N24" s="129"/>
      <c r="O24" s="74"/>
      <c r="P24" s="129"/>
      <c r="Q24" s="129"/>
      <c r="R24" s="129"/>
      <c r="S24" s="129"/>
      <c r="T24" s="129"/>
      <c r="U24" s="127">
        <f t="shared" si="2"/>
        <v>0</v>
      </c>
      <c r="V24" s="129"/>
      <c r="W24" s="129"/>
      <c r="X24" s="129"/>
      <c r="Y24" s="129"/>
      <c r="Z24" s="129"/>
      <c r="AA24" s="129"/>
      <c r="AB24" s="129"/>
      <c r="AC24" s="127">
        <f t="shared" si="3"/>
        <v>0</v>
      </c>
      <c r="AD24" s="129"/>
      <c r="AE24" s="129"/>
      <c r="AF24" s="129"/>
      <c r="AG24" s="129"/>
      <c r="AH24" s="129"/>
      <c r="AI24" s="129"/>
      <c r="AJ24" s="129"/>
      <c r="AK24" s="127">
        <f t="shared" si="4"/>
        <v>0</v>
      </c>
      <c r="AL24" s="129"/>
      <c r="AM24" s="129"/>
      <c r="AN24" s="129"/>
    </row>
    <row r="25" spans="1:40" x14ac:dyDescent="0.3">
      <c r="A25" s="97" t="s">
        <v>4</v>
      </c>
      <c r="B25" s="97"/>
      <c r="C25" s="97"/>
      <c r="D25" s="110">
        <f>SUM(D6:D24)</f>
        <v>202126</v>
      </c>
      <c r="E25" s="110">
        <f t="shared" ref="E25:AN25" si="6">SUM(E6:E24)</f>
        <v>60611</v>
      </c>
      <c r="F25" s="110">
        <f t="shared" si="6"/>
        <v>7241</v>
      </c>
      <c r="G25" s="110">
        <f t="shared" si="6"/>
        <v>6420</v>
      </c>
      <c r="H25" s="110">
        <f t="shared" si="6"/>
        <v>9522</v>
      </c>
      <c r="I25" s="110">
        <f t="shared" si="6"/>
        <v>8604</v>
      </c>
      <c r="J25" s="110">
        <f t="shared" si="6"/>
        <v>7811</v>
      </c>
      <c r="K25" s="110">
        <f t="shared" si="6"/>
        <v>8440</v>
      </c>
      <c r="L25" s="110">
        <f t="shared" si="6"/>
        <v>12573</v>
      </c>
      <c r="M25" s="110">
        <f t="shared" si="6"/>
        <v>45252</v>
      </c>
      <c r="N25" s="110">
        <f t="shared" si="6"/>
        <v>3927</v>
      </c>
      <c r="O25" s="110">
        <f t="shared" si="6"/>
        <v>1950</v>
      </c>
      <c r="P25" s="110">
        <f t="shared" si="6"/>
        <v>7765</v>
      </c>
      <c r="Q25" s="110">
        <f t="shared" si="6"/>
        <v>9810</v>
      </c>
      <c r="R25" s="110">
        <f t="shared" si="6"/>
        <v>4349</v>
      </c>
      <c r="S25" s="110">
        <f t="shared" si="6"/>
        <v>7241</v>
      </c>
      <c r="T25" s="110">
        <f t="shared" si="6"/>
        <v>10210</v>
      </c>
      <c r="U25" s="110">
        <f t="shared" si="6"/>
        <v>43950</v>
      </c>
      <c r="V25" s="110">
        <f t="shared" si="6"/>
        <v>9800</v>
      </c>
      <c r="W25" s="110">
        <f t="shared" si="6"/>
        <v>5295</v>
      </c>
      <c r="X25" s="110">
        <f t="shared" si="6"/>
        <v>4648</v>
      </c>
      <c r="Y25" s="110">
        <f t="shared" si="6"/>
        <v>5520</v>
      </c>
      <c r="Z25" s="110">
        <f t="shared" si="6"/>
        <v>8304</v>
      </c>
      <c r="AA25" s="110">
        <f t="shared" si="6"/>
        <v>5641</v>
      </c>
      <c r="AB25" s="110">
        <f t="shared" si="6"/>
        <v>4742</v>
      </c>
      <c r="AC25" s="110">
        <f t="shared" si="6"/>
        <v>42854</v>
      </c>
      <c r="AD25" s="110">
        <f t="shared" si="6"/>
        <v>4550</v>
      </c>
      <c r="AE25" s="110">
        <f t="shared" si="6"/>
        <v>7315</v>
      </c>
      <c r="AF25" s="110">
        <f t="shared" si="6"/>
        <v>5769</v>
      </c>
      <c r="AG25" s="110">
        <f t="shared" si="6"/>
        <v>4267</v>
      </c>
      <c r="AH25" s="110">
        <f t="shared" si="6"/>
        <v>5350</v>
      </c>
      <c r="AI25" s="110">
        <f t="shared" si="6"/>
        <v>10164</v>
      </c>
      <c r="AJ25" s="110">
        <f t="shared" si="6"/>
        <v>5439</v>
      </c>
      <c r="AK25" s="110">
        <f t="shared" si="6"/>
        <v>9459</v>
      </c>
      <c r="AL25" s="110">
        <f t="shared" si="6"/>
        <v>4414</v>
      </c>
      <c r="AM25" s="110">
        <f t="shared" si="6"/>
        <v>5045</v>
      </c>
      <c r="AN25" s="110">
        <f t="shared" si="6"/>
        <v>0</v>
      </c>
    </row>
    <row r="26" spans="1:40" x14ac:dyDescent="0.3">
      <c r="A26" s="100"/>
      <c r="B26" s="100" t="s">
        <v>6</v>
      </c>
      <c r="C26" s="56" t="s">
        <v>32</v>
      </c>
      <c r="D26" s="104">
        <f t="shared" si="5"/>
        <v>0</v>
      </c>
      <c r="E26" s="127">
        <f t="shared" ref="E26:E27" si="7">SUM(F26:L26)</f>
        <v>0</v>
      </c>
      <c r="F26" s="74"/>
      <c r="G26" s="74"/>
      <c r="H26" s="74"/>
      <c r="I26" s="74"/>
      <c r="J26" s="74"/>
      <c r="K26" s="74"/>
      <c r="L26" s="74"/>
      <c r="M26" s="127">
        <f t="shared" ref="M26:M27" si="8">SUM(N26:T26)</f>
        <v>0</v>
      </c>
      <c r="N26" s="74"/>
      <c r="O26" s="74"/>
      <c r="P26" s="74"/>
      <c r="Q26" s="74"/>
      <c r="R26" s="74"/>
      <c r="S26" s="74"/>
      <c r="T26" s="74"/>
      <c r="U26" s="127">
        <f t="shared" ref="U26:U27" si="9">SUM(V26:AB26)</f>
        <v>0</v>
      </c>
      <c r="V26" s="74"/>
      <c r="W26" s="70"/>
      <c r="X26" s="70"/>
      <c r="Y26" s="70"/>
      <c r="Z26" s="70"/>
      <c r="AA26" s="70"/>
      <c r="AB26" s="70"/>
      <c r="AC26" s="127">
        <f t="shared" ref="AC26:AC27" si="10">SUM(AD26:AJ26)</f>
        <v>0</v>
      </c>
      <c r="AD26" s="70"/>
      <c r="AE26" s="70"/>
      <c r="AF26" s="70"/>
      <c r="AG26" s="70"/>
      <c r="AH26" s="70"/>
      <c r="AI26" s="70"/>
      <c r="AJ26" s="70"/>
      <c r="AK26" s="127">
        <f t="shared" ref="AK26:AK27" si="11">SUM(AL26:AR26)</f>
        <v>0</v>
      </c>
      <c r="AL26" s="70"/>
      <c r="AM26" s="70"/>
      <c r="AN26" s="70"/>
    </row>
    <row r="27" spans="1:40" x14ac:dyDescent="0.3">
      <c r="A27" s="100"/>
      <c r="B27" s="100"/>
      <c r="C27" s="56" t="s">
        <v>121</v>
      </c>
      <c r="D27" s="104">
        <f t="shared" si="5"/>
        <v>55296</v>
      </c>
      <c r="E27" s="127">
        <f t="shared" si="7"/>
        <v>16321</v>
      </c>
      <c r="F27" s="74">
        <v>2850</v>
      </c>
      <c r="G27" s="74">
        <v>2300</v>
      </c>
      <c r="H27" s="74">
        <v>2160</v>
      </c>
      <c r="I27" s="74">
        <f>1750+690</f>
        <v>2440</v>
      </c>
      <c r="J27" s="74">
        <f>158+1003</f>
        <v>1161</v>
      </c>
      <c r="K27" s="74">
        <v>2650</v>
      </c>
      <c r="L27" s="74">
        <f>2015+745</f>
        <v>2760</v>
      </c>
      <c r="M27" s="127">
        <f t="shared" si="8"/>
        <v>14810</v>
      </c>
      <c r="N27" s="74">
        <v>1030</v>
      </c>
      <c r="O27" s="74">
        <v>830</v>
      </c>
      <c r="P27" s="74">
        <f>1540+1250</f>
        <v>2790</v>
      </c>
      <c r="Q27" s="74">
        <v>2160</v>
      </c>
      <c r="R27" s="74">
        <v>1210</v>
      </c>
      <c r="S27" s="74">
        <v>3930</v>
      </c>
      <c r="T27" s="70">
        <v>2860</v>
      </c>
      <c r="U27" s="127">
        <f t="shared" si="9"/>
        <v>11265</v>
      </c>
      <c r="V27" s="70">
        <v>2160</v>
      </c>
      <c r="W27" s="70">
        <v>1580</v>
      </c>
      <c r="X27" s="70">
        <v>1560</v>
      </c>
      <c r="Y27" s="70">
        <v>930</v>
      </c>
      <c r="Z27" s="70">
        <v>2015</v>
      </c>
      <c r="AA27" s="70">
        <v>1400</v>
      </c>
      <c r="AB27" s="70">
        <v>1620</v>
      </c>
      <c r="AC27" s="127">
        <f t="shared" si="10"/>
        <v>9820</v>
      </c>
      <c r="AD27" s="70">
        <v>700</v>
      </c>
      <c r="AE27" s="70">
        <v>2015</v>
      </c>
      <c r="AF27" s="70">
        <v>1190</v>
      </c>
      <c r="AG27" s="70">
        <v>1140</v>
      </c>
      <c r="AH27" s="70">
        <v>1250</v>
      </c>
      <c r="AI27" s="70">
        <v>2015</v>
      </c>
      <c r="AJ27" s="70">
        <v>1510</v>
      </c>
      <c r="AK27" s="127">
        <f t="shared" si="11"/>
        <v>3080</v>
      </c>
      <c r="AL27" s="70">
        <v>1560</v>
      </c>
      <c r="AM27" s="70">
        <v>1520</v>
      </c>
      <c r="AN27" s="70"/>
    </row>
    <row r="28" spans="1:40" x14ac:dyDescent="0.3">
      <c r="A28" s="97" t="s">
        <v>4</v>
      </c>
      <c r="B28" s="97"/>
      <c r="C28" s="97"/>
      <c r="D28" s="104">
        <f>SUM(D26:D27)</f>
        <v>55296</v>
      </c>
      <c r="E28" s="110">
        <f t="shared" ref="E28:AN28" si="12">SUM(E26:E27)</f>
        <v>16321</v>
      </c>
      <c r="F28" s="131">
        <f t="shared" si="12"/>
        <v>2850</v>
      </c>
      <c r="G28" s="131">
        <f t="shared" si="12"/>
        <v>2300</v>
      </c>
      <c r="H28" s="131">
        <f t="shared" si="12"/>
        <v>2160</v>
      </c>
      <c r="I28" s="131">
        <f t="shared" si="12"/>
        <v>2440</v>
      </c>
      <c r="J28" s="131">
        <f t="shared" si="12"/>
        <v>1161</v>
      </c>
      <c r="K28" s="131">
        <f t="shared" si="12"/>
        <v>2650</v>
      </c>
      <c r="L28" s="131">
        <f t="shared" si="12"/>
        <v>2760</v>
      </c>
      <c r="M28" s="110">
        <f t="shared" si="12"/>
        <v>14810</v>
      </c>
      <c r="N28" s="131">
        <f t="shared" si="12"/>
        <v>1030</v>
      </c>
      <c r="O28" s="131">
        <f t="shared" si="12"/>
        <v>830</v>
      </c>
      <c r="P28" s="131">
        <f t="shared" si="12"/>
        <v>2790</v>
      </c>
      <c r="Q28" s="131">
        <f t="shared" si="12"/>
        <v>2160</v>
      </c>
      <c r="R28" s="131">
        <f t="shared" si="12"/>
        <v>1210</v>
      </c>
      <c r="S28" s="131">
        <f t="shared" si="12"/>
        <v>3930</v>
      </c>
      <c r="T28" s="131">
        <f t="shared" si="12"/>
        <v>2860</v>
      </c>
      <c r="U28" s="110">
        <f t="shared" si="12"/>
        <v>11265</v>
      </c>
      <c r="V28" s="131">
        <f t="shared" si="12"/>
        <v>2160</v>
      </c>
      <c r="W28" s="131">
        <f t="shared" si="12"/>
        <v>1580</v>
      </c>
      <c r="X28" s="131">
        <f t="shared" si="12"/>
        <v>1560</v>
      </c>
      <c r="Y28" s="131">
        <f t="shared" si="12"/>
        <v>930</v>
      </c>
      <c r="Z28" s="131">
        <f t="shared" si="12"/>
        <v>2015</v>
      </c>
      <c r="AA28" s="131">
        <f t="shared" si="12"/>
        <v>1400</v>
      </c>
      <c r="AB28" s="131">
        <f t="shared" si="12"/>
        <v>1620</v>
      </c>
      <c r="AC28" s="110">
        <f t="shared" si="12"/>
        <v>9820</v>
      </c>
      <c r="AD28" s="131">
        <f t="shared" si="12"/>
        <v>700</v>
      </c>
      <c r="AE28" s="131">
        <f t="shared" si="12"/>
        <v>2015</v>
      </c>
      <c r="AF28" s="131">
        <f t="shared" si="12"/>
        <v>1190</v>
      </c>
      <c r="AG28" s="131">
        <f t="shared" si="12"/>
        <v>1140</v>
      </c>
      <c r="AH28" s="131">
        <f t="shared" si="12"/>
        <v>1250</v>
      </c>
      <c r="AI28" s="131">
        <f t="shared" si="12"/>
        <v>2015</v>
      </c>
      <c r="AJ28" s="131">
        <f t="shared" si="12"/>
        <v>1510</v>
      </c>
      <c r="AK28" s="110">
        <f t="shared" si="12"/>
        <v>3080</v>
      </c>
      <c r="AL28" s="131">
        <f t="shared" si="12"/>
        <v>1560</v>
      </c>
      <c r="AM28" s="131">
        <f t="shared" si="12"/>
        <v>1520</v>
      </c>
      <c r="AN28" s="131">
        <f t="shared" si="12"/>
        <v>0</v>
      </c>
    </row>
    <row r="29" spans="1:40" x14ac:dyDescent="0.3">
      <c r="A29" s="113" t="s">
        <v>87</v>
      </c>
      <c r="B29" s="113"/>
      <c r="C29" s="113"/>
      <c r="D29" s="114">
        <f>SUM(D28,D25)</f>
        <v>257422</v>
      </c>
      <c r="E29" s="132">
        <f t="shared" ref="E29:AN29" si="13">SUM(E25,E28)</f>
        <v>76932</v>
      </c>
      <c r="F29" s="132">
        <f t="shared" si="13"/>
        <v>10091</v>
      </c>
      <c r="G29" s="134">
        <f t="shared" si="13"/>
        <v>8720</v>
      </c>
      <c r="H29" s="134">
        <f t="shared" si="13"/>
        <v>11682</v>
      </c>
      <c r="I29" s="134">
        <f t="shared" si="13"/>
        <v>11044</v>
      </c>
      <c r="J29" s="134">
        <f t="shared" si="13"/>
        <v>8972</v>
      </c>
      <c r="K29" s="134">
        <f t="shared" si="13"/>
        <v>11090</v>
      </c>
      <c r="L29" s="134">
        <f t="shared" si="13"/>
        <v>15333</v>
      </c>
      <c r="M29" s="132">
        <f t="shared" si="13"/>
        <v>60062</v>
      </c>
      <c r="N29" s="134">
        <f t="shared" si="13"/>
        <v>4957</v>
      </c>
      <c r="O29" s="134">
        <f t="shared" si="13"/>
        <v>2780</v>
      </c>
      <c r="P29" s="134">
        <f t="shared" si="13"/>
        <v>10555</v>
      </c>
      <c r="Q29" s="134">
        <f t="shared" si="13"/>
        <v>11970</v>
      </c>
      <c r="R29" s="134">
        <f t="shared" si="13"/>
        <v>5559</v>
      </c>
      <c r="S29" s="134">
        <f t="shared" si="13"/>
        <v>11171</v>
      </c>
      <c r="T29" s="134">
        <f t="shared" si="13"/>
        <v>13070</v>
      </c>
      <c r="U29" s="132">
        <f t="shared" si="13"/>
        <v>55215</v>
      </c>
      <c r="V29" s="134">
        <f t="shared" si="13"/>
        <v>11960</v>
      </c>
      <c r="W29" s="134">
        <f t="shared" si="13"/>
        <v>6875</v>
      </c>
      <c r="X29" s="134">
        <f t="shared" si="13"/>
        <v>6208</v>
      </c>
      <c r="Y29" s="134">
        <f t="shared" si="13"/>
        <v>6450</v>
      </c>
      <c r="Z29" s="134">
        <f t="shared" si="13"/>
        <v>10319</v>
      </c>
      <c r="AA29" s="134">
        <f t="shared" si="13"/>
        <v>7041</v>
      </c>
      <c r="AB29" s="134">
        <f t="shared" si="13"/>
        <v>6362</v>
      </c>
      <c r="AC29" s="132">
        <f t="shared" si="13"/>
        <v>52674</v>
      </c>
      <c r="AD29" s="134">
        <f t="shared" si="13"/>
        <v>5250</v>
      </c>
      <c r="AE29" s="134">
        <f t="shared" si="13"/>
        <v>9330</v>
      </c>
      <c r="AF29" s="134">
        <f t="shared" si="13"/>
        <v>6959</v>
      </c>
      <c r="AG29" s="134">
        <f t="shared" si="13"/>
        <v>5407</v>
      </c>
      <c r="AH29" s="134">
        <f t="shared" si="13"/>
        <v>6600</v>
      </c>
      <c r="AI29" s="134">
        <f t="shared" si="13"/>
        <v>12179</v>
      </c>
      <c r="AJ29" s="134">
        <f t="shared" si="13"/>
        <v>6949</v>
      </c>
      <c r="AK29" s="132">
        <f t="shared" si="13"/>
        <v>12539</v>
      </c>
      <c r="AL29" s="134">
        <f t="shared" si="13"/>
        <v>5974</v>
      </c>
      <c r="AM29" s="134">
        <f t="shared" si="13"/>
        <v>6565</v>
      </c>
      <c r="AN29" s="134">
        <f t="shared" si="13"/>
        <v>0</v>
      </c>
    </row>
    <row r="30" spans="1:40" x14ac:dyDescent="0.3">
      <c r="AL30" s="44" t="s">
        <v>223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Normal="100" workbookViewId="0">
      <selection activeCell="D25" sqref="D25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25" style="44" bestFit="1" customWidth="1"/>
    <col min="5" max="16384" width="9" style="44"/>
  </cols>
  <sheetData>
    <row r="1" spans="1:40" ht="26.25" x14ac:dyDescent="0.3">
      <c r="A1" s="94" t="s">
        <v>224</v>
      </c>
      <c r="B1" s="94"/>
      <c r="C1" s="94"/>
      <c r="D1" s="94"/>
      <c r="I1" s="95"/>
      <c r="J1" s="95"/>
      <c r="K1" s="95"/>
      <c r="L1" s="95"/>
      <c r="M1" s="95"/>
      <c r="N1" s="95"/>
      <c r="O1" s="95"/>
    </row>
    <row r="2" spans="1:40" ht="26.25" x14ac:dyDescent="0.3">
      <c r="A2" s="47"/>
      <c r="B2" s="48"/>
      <c r="C2" s="48"/>
      <c r="D2" s="96"/>
      <c r="F2" s="48"/>
      <c r="G2" s="48"/>
      <c r="H2" s="48"/>
      <c r="I2" s="49"/>
      <c r="J2" s="49"/>
      <c r="K2" s="49"/>
      <c r="L2" s="49"/>
      <c r="M2" s="49"/>
      <c r="N2" s="49"/>
      <c r="O2" s="49"/>
      <c r="P2" s="48"/>
      <c r="Q2" s="48"/>
      <c r="R2" s="48"/>
      <c r="S2" s="48"/>
      <c r="T2" s="48"/>
      <c r="V2" s="48"/>
    </row>
    <row r="3" spans="1:40" x14ac:dyDescent="0.3">
      <c r="A3" s="97" t="s">
        <v>19</v>
      </c>
      <c r="B3" s="97"/>
      <c r="C3" s="97"/>
      <c r="D3" s="98" t="s">
        <v>5</v>
      </c>
      <c r="E3" s="125" t="s">
        <v>225</v>
      </c>
      <c r="F3" s="99">
        <v>1</v>
      </c>
      <c r="G3" s="99">
        <v>2</v>
      </c>
      <c r="H3" s="99">
        <v>3</v>
      </c>
      <c r="I3" s="99">
        <v>4</v>
      </c>
      <c r="J3" s="99">
        <v>5</v>
      </c>
      <c r="K3" s="99">
        <v>6</v>
      </c>
      <c r="L3" s="99">
        <v>7</v>
      </c>
      <c r="M3" s="125" t="s">
        <v>225</v>
      </c>
      <c r="N3" s="99">
        <v>8</v>
      </c>
      <c r="O3" s="99">
        <v>9</v>
      </c>
      <c r="P3" s="99">
        <v>10</v>
      </c>
      <c r="Q3" s="99">
        <v>11</v>
      </c>
      <c r="R3" s="99">
        <v>12</v>
      </c>
      <c r="S3" s="99">
        <v>13</v>
      </c>
      <c r="T3" s="99">
        <v>14</v>
      </c>
      <c r="U3" s="125" t="s">
        <v>225</v>
      </c>
      <c r="V3" s="99">
        <v>15</v>
      </c>
      <c r="W3" s="99">
        <v>16</v>
      </c>
      <c r="X3" s="99">
        <v>17</v>
      </c>
      <c r="Y3" s="99">
        <v>18</v>
      </c>
      <c r="Z3" s="99">
        <v>19</v>
      </c>
      <c r="AA3" s="99">
        <v>20</v>
      </c>
      <c r="AB3" s="99">
        <v>21</v>
      </c>
      <c r="AC3" s="125" t="s">
        <v>225</v>
      </c>
      <c r="AD3" s="99">
        <v>22</v>
      </c>
      <c r="AE3" s="99">
        <v>23</v>
      </c>
      <c r="AF3" s="99">
        <v>24</v>
      </c>
      <c r="AG3" s="99">
        <v>25</v>
      </c>
      <c r="AH3" s="99">
        <v>26</v>
      </c>
      <c r="AI3" s="99">
        <v>27</v>
      </c>
      <c r="AJ3" s="99">
        <v>28</v>
      </c>
      <c r="AK3" s="125" t="s">
        <v>225</v>
      </c>
      <c r="AL3" s="99">
        <v>29</v>
      </c>
      <c r="AM3" s="99">
        <v>30</v>
      </c>
      <c r="AN3" s="99">
        <v>31</v>
      </c>
    </row>
    <row r="4" spans="1:40" x14ac:dyDescent="0.3">
      <c r="A4" s="97" t="s">
        <v>18</v>
      </c>
      <c r="B4" s="97"/>
      <c r="C4" s="97"/>
      <c r="D4" s="98"/>
      <c r="E4" s="125"/>
      <c r="F4" s="56" t="s">
        <v>226</v>
      </c>
      <c r="G4" s="56" t="s">
        <v>58</v>
      </c>
      <c r="H4" s="56" t="s">
        <v>59</v>
      </c>
      <c r="I4" s="56" t="s">
        <v>60</v>
      </c>
      <c r="J4" s="56" t="s">
        <v>54</v>
      </c>
      <c r="K4" s="56" t="s">
        <v>55</v>
      </c>
      <c r="L4" s="56" t="s">
        <v>56</v>
      </c>
      <c r="M4" s="125"/>
      <c r="N4" s="56" t="s">
        <v>227</v>
      </c>
      <c r="O4" s="56" t="s">
        <v>58</v>
      </c>
      <c r="P4" s="56" t="s">
        <v>59</v>
      </c>
      <c r="Q4" s="56" t="s">
        <v>60</v>
      </c>
      <c r="R4" s="56" t="s">
        <v>54</v>
      </c>
      <c r="S4" s="56" t="s">
        <v>55</v>
      </c>
      <c r="T4" s="56" t="s">
        <v>56</v>
      </c>
      <c r="U4" s="125"/>
      <c r="V4" s="56" t="s">
        <v>226</v>
      </c>
      <c r="W4" s="56" t="s">
        <v>58</v>
      </c>
      <c r="X4" s="56" t="s">
        <v>59</v>
      </c>
      <c r="Y4" s="56" t="s">
        <v>60</v>
      </c>
      <c r="Z4" s="56" t="s">
        <v>54</v>
      </c>
      <c r="AA4" s="56" t="s">
        <v>55</v>
      </c>
      <c r="AB4" s="56" t="s">
        <v>56</v>
      </c>
      <c r="AC4" s="125"/>
      <c r="AD4" s="56" t="s">
        <v>226</v>
      </c>
      <c r="AE4" s="56" t="s">
        <v>58</v>
      </c>
      <c r="AF4" s="56" t="s">
        <v>59</v>
      </c>
      <c r="AG4" s="56" t="s">
        <v>60</v>
      </c>
      <c r="AH4" s="56" t="s">
        <v>54</v>
      </c>
      <c r="AI4" s="56" t="s">
        <v>55</v>
      </c>
      <c r="AJ4" s="56" t="s">
        <v>56</v>
      </c>
      <c r="AK4" s="125"/>
      <c r="AL4" s="56" t="s">
        <v>226</v>
      </c>
      <c r="AM4" s="56" t="s">
        <v>228</v>
      </c>
      <c r="AN4" s="56" t="s">
        <v>229</v>
      </c>
    </row>
    <row r="5" spans="1:40" x14ac:dyDescent="0.3">
      <c r="A5" s="100" t="s">
        <v>31</v>
      </c>
      <c r="B5" s="100" t="s">
        <v>30</v>
      </c>
      <c r="C5" s="100"/>
      <c r="D5" s="101"/>
      <c r="E5" s="126"/>
      <c r="F5" s="102" t="s">
        <v>111</v>
      </c>
      <c r="G5" s="61" t="s">
        <v>230</v>
      </c>
      <c r="H5" s="61" t="s">
        <v>231</v>
      </c>
      <c r="I5" s="61" t="s">
        <v>231</v>
      </c>
      <c r="J5" s="61" t="s">
        <v>231</v>
      </c>
      <c r="K5" s="61" t="s">
        <v>231</v>
      </c>
      <c r="L5" s="61" t="s">
        <v>231</v>
      </c>
      <c r="M5" s="126"/>
      <c r="N5" s="61" t="s">
        <v>111</v>
      </c>
      <c r="O5" s="61" t="s">
        <v>231</v>
      </c>
      <c r="P5" s="61" t="s">
        <v>232</v>
      </c>
      <c r="Q5" s="61" t="s">
        <v>233</v>
      </c>
      <c r="R5" s="61" t="s">
        <v>111</v>
      </c>
      <c r="S5" s="61" t="s">
        <v>231</v>
      </c>
      <c r="T5" s="61" t="s">
        <v>231</v>
      </c>
      <c r="U5" s="126"/>
      <c r="V5" s="61" t="s">
        <v>230</v>
      </c>
      <c r="W5" s="102" t="s">
        <v>231</v>
      </c>
      <c r="X5" s="102" t="s">
        <v>111</v>
      </c>
      <c r="Y5" s="102" t="s">
        <v>234</v>
      </c>
      <c r="Z5" s="102" t="s">
        <v>231</v>
      </c>
      <c r="AA5" s="102" t="s">
        <v>231</v>
      </c>
      <c r="AB5" s="102" t="s">
        <v>231</v>
      </c>
      <c r="AC5" s="126"/>
      <c r="AD5" s="102" t="s">
        <v>231</v>
      </c>
      <c r="AE5" s="102" t="s">
        <v>111</v>
      </c>
      <c r="AF5" s="102" t="s">
        <v>230</v>
      </c>
      <c r="AG5" s="102" t="s">
        <v>231</v>
      </c>
      <c r="AH5" s="102" t="s">
        <v>231</v>
      </c>
      <c r="AI5" s="102" t="s">
        <v>230</v>
      </c>
      <c r="AJ5" s="102" t="s">
        <v>230</v>
      </c>
      <c r="AK5" s="126"/>
      <c r="AL5" s="102" t="s">
        <v>231</v>
      </c>
      <c r="AM5" s="102" t="s">
        <v>111</v>
      </c>
      <c r="AN5" s="102" t="s">
        <v>231</v>
      </c>
    </row>
    <row r="6" spans="1:40" x14ac:dyDescent="0.3">
      <c r="A6" s="100"/>
      <c r="B6" s="103" t="s">
        <v>21</v>
      </c>
      <c r="C6" s="103"/>
      <c r="D6" s="104">
        <f t="shared" ref="D6:D24" si="0">SUM(E6,M6,U6,AC6,AK6)</f>
        <v>1840</v>
      </c>
      <c r="E6" s="127">
        <f t="shared" ref="E6:E24" si="1">SUM(F6:L6)</f>
        <v>490</v>
      </c>
      <c r="F6" s="74">
        <v>0</v>
      </c>
      <c r="G6" s="74">
        <v>90</v>
      </c>
      <c r="H6" s="74">
        <v>50</v>
      </c>
      <c r="I6" s="74">
        <v>200</v>
      </c>
      <c r="J6" s="74">
        <v>0</v>
      </c>
      <c r="K6" s="74">
        <v>100</v>
      </c>
      <c r="L6" s="74">
        <v>50</v>
      </c>
      <c r="M6" s="127">
        <f t="shared" ref="M6:M24" si="2">SUM(N6:T6)</f>
        <v>400</v>
      </c>
      <c r="N6" s="74">
        <v>100</v>
      </c>
      <c r="O6" s="74">
        <v>0</v>
      </c>
      <c r="P6" s="74">
        <v>100</v>
      </c>
      <c r="Q6" s="128">
        <v>50</v>
      </c>
      <c r="R6" s="74">
        <v>100</v>
      </c>
      <c r="S6" s="74">
        <v>0</v>
      </c>
      <c r="T6" s="70">
        <v>50</v>
      </c>
      <c r="U6" s="127">
        <f t="shared" ref="U6:U24" si="3">SUM(V6:AB6)</f>
        <v>430</v>
      </c>
      <c r="V6" s="70">
        <v>40</v>
      </c>
      <c r="W6" s="74">
        <v>100</v>
      </c>
      <c r="X6" s="74">
        <v>0</v>
      </c>
      <c r="Y6" s="129">
        <v>50</v>
      </c>
      <c r="Z6" s="129">
        <v>40</v>
      </c>
      <c r="AA6" s="129">
        <v>200</v>
      </c>
      <c r="AB6" s="74">
        <v>0</v>
      </c>
      <c r="AC6" s="127">
        <f t="shared" ref="AC6:AC24" si="4">SUM(AD6:AJ6)</f>
        <v>470</v>
      </c>
      <c r="AD6" s="129">
        <v>150</v>
      </c>
      <c r="AE6" s="129">
        <v>40</v>
      </c>
      <c r="AF6" s="129">
        <v>100</v>
      </c>
      <c r="AG6" s="74">
        <v>0</v>
      </c>
      <c r="AH6" s="129">
        <v>50</v>
      </c>
      <c r="AI6" s="129">
        <v>40</v>
      </c>
      <c r="AJ6" s="129">
        <v>90</v>
      </c>
      <c r="AK6" s="127">
        <f t="shared" ref="AK6:AK24" si="5">SUM(AL6:AN6)</f>
        <v>50</v>
      </c>
      <c r="AL6" s="74">
        <v>0</v>
      </c>
      <c r="AM6" s="129">
        <v>50</v>
      </c>
      <c r="AN6" s="74">
        <v>0</v>
      </c>
    </row>
    <row r="7" spans="1:40" x14ac:dyDescent="0.3">
      <c r="A7" s="100"/>
      <c r="B7" s="103" t="s">
        <v>22</v>
      </c>
      <c r="C7" s="103"/>
      <c r="D7" s="104">
        <f t="shared" si="0"/>
        <v>41337</v>
      </c>
      <c r="E7" s="127">
        <f t="shared" si="1"/>
        <v>9185</v>
      </c>
      <c r="F7" s="74">
        <v>1775</v>
      </c>
      <c r="G7" s="74">
        <v>1008</v>
      </c>
      <c r="H7" s="74">
        <v>1580</v>
      </c>
      <c r="I7" s="74">
        <v>620</v>
      </c>
      <c r="J7" s="74">
        <v>1702</v>
      </c>
      <c r="K7" s="74">
        <v>840</v>
      </c>
      <c r="L7" s="74">
        <v>1660</v>
      </c>
      <c r="M7" s="127">
        <f t="shared" si="2"/>
        <v>10094</v>
      </c>
      <c r="N7" s="74">
        <v>1420</v>
      </c>
      <c r="O7" s="74">
        <v>1702</v>
      </c>
      <c r="P7" s="74">
        <v>1310</v>
      </c>
      <c r="Q7" s="74">
        <v>1660</v>
      </c>
      <c r="R7" s="74">
        <v>900</v>
      </c>
      <c r="S7" s="74">
        <v>1802</v>
      </c>
      <c r="T7" s="70">
        <v>1300</v>
      </c>
      <c r="U7" s="127">
        <f t="shared" si="3"/>
        <v>9704</v>
      </c>
      <c r="V7" s="70">
        <v>1680</v>
      </c>
      <c r="W7" s="129">
        <v>900</v>
      </c>
      <c r="X7" s="129">
        <v>1652</v>
      </c>
      <c r="Y7" s="129">
        <v>1000</v>
      </c>
      <c r="Z7" s="129">
        <v>1850</v>
      </c>
      <c r="AA7" s="129">
        <v>1420</v>
      </c>
      <c r="AB7" s="129">
        <v>1202</v>
      </c>
      <c r="AC7" s="127">
        <f t="shared" si="4"/>
        <v>8742</v>
      </c>
      <c r="AD7" s="129">
        <v>1290</v>
      </c>
      <c r="AE7" s="129">
        <v>1580</v>
      </c>
      <c r="AF7" s="129">
        <v>1420</v>
      </c>
      <c r="AG7" s="129">
        <v>1102</v>
      </c>
      <c r="AH7" s="129">
        <v>1070</v>
      </c>
      <c r="AI7" s="129">
        <v>1460</v>
      </c>
      <c r="AJ7" s="129">
        <v>820</v>
      </c>
      <c r="AK7" s="127">
        <f t="shared" si="5"/>
        <v>3612</v>
      </c>
      <c r="AL7" s="129">
        <v>1102</v>
      </c>
      <c r="AM7" s="129">
        <v>1040</v>
      </c>
      <c r="AN7" s="129">
        <v>1470</v>
      </c>
    </row>
    <row r="8" spans="1:40" x14ac:dyDescent="0.3">
      <c r="A8" s="100"/>
      <c r="B8" s="103" t="s">
        <v>24</v>
      </c>
      <c r="C8" s="103"/>
      <c r="D8" s="104">
        <f t="shared" si="0"/>
        <v>45272</v>
      </c>
      <c r="E8" s="127">
        <f t="shared" si="1"/>
        <v>9907</v>
      </c>
      <c r="F8" s="74">
        <v>3000</v>
      </c>
      <c r="G8" s="74">
        <v>457</v>
      </c>
      <c r="H8" s="74">
        <v>760</v>
      </c>
      <c r="I8" s="74">
        <v>880</v>
      </c>
      <c r="J8" s="74">
        <v>3000</v>
      </c>
      <c r="K8" s="74">
        <v>1050</v>
      </c>
      <c r="L8" s="74">
        <v>760</v>
      </c>
      <c r="M8" s="127">
        <f t="shared" si="2"/>
        <v>10415</v>
      </c>
      <c r="N8" s="74">
        <v>875</v>
      </c>
      <c r="O8" s="74">
        <v>3000</v>
      </c>
      <c r="P8" s="74">
        <v>1050</v>
      </c>
      <c r="Q8" s="74">
        <v>740</v>
      </c>
      <c r="R8" s="74">
        <v>700</v>
      </c>
      <c r="S8" s="74">
        <v>3000</v>
      </c>
      <c r="T8" s="70">
        <v>1050</v>
      </c>
      <c r="U8" s="127">
        <f t="shared" si="3"/>
        <v>10960</v>
      </c>
      <c r="V8" s="70">
        <v>960</v>
      </c>
      <c r="W8" s="130">
        <v>1100</v>
      </c>
      <c r="X8" s="130">
        <v>3000</v>
      </c>
      <c r="Y8" s="130">
        <v>530</v>
      </c>
      <c r="Z8" s="130">
        <v>1030</v>
      </c>
      <c r="AA8" s="130">
        <v>1340</v>
      </c>
      <c r="AB8" s="130">
        <v>3000</v>
      </c>
      <c r="AC8" s="127">
        <f t="shared" si="4"/>
        <v>9430</v>
      </c>
      <c r="AD8" s="130">
        <v>1630</v>
      </c>
      <c r="AE8" s="130">
        <v>1110</v>
      </c>
      <c r="AF8" s="130">
        <v>1070</v>
      </c>
      <c r="AG8" s="130">
        <v>3000</v>
      </c>
      <c r="AH8" s="130">
        <v>820</v>
      </c>
      <c r="AI8" s="130">
        <v>1020</v>
      </c>
      <c r="AJ8" s="130">
        <v>780</v>
      </c>
      <c r="AK8" s="127">
        <f t="shared" si="5"/>
        <v>4560</v>
      </c>
      <c r="AL8" s="129">
        <v>3000</v>
      </c>
      <c r="AM8" s="129">
        <v>820</v>
      </c>
      <c r="AN8" s="129">
        <v>740</v>
      </c>
    </row>
    <row r="9" spans="1:40" x14ac:dyDescent="0.3">
      <c r="A9" s="100"/>
      <c r="B9" s="103" t="s">
        <v>28</v>
      </c>
      <c r="C9" s="103"/>
      <c r="D9" s="104">
        <f t="shared" si="0"/>
        <v>12812</v>
      </c>
      <c r="E9" s="127">
        <f t="shared" si="1"/>
        <v>3988</v>
      </c>
      <c r="F9" s="74">
        <v>200</v>
      </c>
      <c r="G9" s="74">
        <f>110+115</f>
        <v>225</v>
      </c>
      <c r="H9" s="74">
        <v>330</v>
      </c>
      <c r="I9" s="90">
        <f>260+250</f>
        <v>510</v>
      </c>
      <c r="J9" s="74">
        <f>949+949</f>
        <v>1898</v>
      </c>
      <c r="K9" s="74">
        <f>95+270</f>
        <v>365</v>
      </c>
      <c r="L9" s="74">
        <v>460</v>
      </c>
      <c r="M9" s="127">
        <f t="shared" si="2"/>
        <v>3743</v>
      </c>
      <c r="N9" s="74">
        <v>190</v>
      </c>
      <c r="O9" s="74">
        <v>1149</v>
      </c>
      <c r="P9" s="74">
        <v>100</v>
      </c>
      <c r="Q9" s="74">
        <v>450</v>
      </c>
      <c r="R9" s="74">
        <v>620</v>
      </c>
      <c r="S9" s="74">
        <v>849</v>
      </c>
      <c r="T9" s="70">
        <v>385</v>
      </c>
      <c r="U9" s="127">
        <f t="shared" si="3"/>
        <v>2219</v>
      </c>
      <c r="V9" s="70">
        <v>350</v>
      </c>
      <c r="W9" s="130">
        <v>370</v>
      </c>
      <c r="X9" s="130">
        <v>609</v>
      </c>
      <c r="Y9" s="130">
        <v>221</v>
      </c>
      <c r="Z9" s="130">
        <v>180</v>
      </c>
      <c r="AA9" s="130">
        <v>140</v>
      </c>
      <c r="AB9" s="130">
        <v>349</v>
      </c>
      <c r="AC9" s="127">
        <f t="shared" si="4"/>
        <v>1928</v>
      </c>
      <c r="AD9" s="130">
        <v>474</v>
      </c>
      <c r="AE9" s="130">
        <v>160</v>
      </c>
      <c r="AF9" s="130">
        <v>100</v>
      </c>
      <c r="AG9" s="130">
        <v>520</v>
      </c>
      <c r="AH9" s="130">
        <v>214</v>
      </c>
      <c r="AI9" s="130">
        <v>140</v>
      </c>
      <c r="AJ9" s="130">
        <v>320</v>
      </c>
      <c r="AK9" s="127">
        <f t="shared" si="5"/>
        <v>934</v>
      </c>
      <c r="AL9" s="130">
        <v>520</v>
      </c>
      <c r="AM9" s="130">
        <v>244</v>
      </c>
      <c r="AN9" s="130">
        <v>170</v>
      </c>
    </row>
    <row r="10" spans="1:40" x14ac:dyDescent="0.3">
      <c r="A10" s="100"/>
      <c r="B10" s="107" t="s">
        <v>17</v>
      </c>
      <c r="C10" s="107"/>
      <c r="D10" s="104">
        <f t="shared" si="0"/>
        <v>0</v>
      </c>
      <c r="E10" s="127">
        <f t="shared" si="1"/>
        <v>0</v>
      </c>
      <c r="F10" s="130"/>
      <c r="G10" s="74"/>
      <c r="H10" s="130"/>
      <c r="I10" s="130"/>
      <c r="J10" s="74"/>
      <c r="K10" s="130"/>
      <c r="L10" s="130"/>
      <c r="M10" s="127">
        <f t="shared" si="2"/>
        <v>0</v>
      </c>
      <c r="N10" s="130"/>
      <c r="O10" s="130"/>
      <c r="P10" s="74"/>
      <c r="Q10" s="130"/>
      <c r="R10" s="130"/>
      <c r="S10" s="130"/>
      <c r="T10" s="130"/>
      <c r="U10" s="127">
        <f t="shared" si="3"/>
        <v>0</v>
      </c>
      <c r="V10" s="130"/>
      <c r="W10" s="130"/>
      <c r="X10" s="130"/>
      <c r="Y10" s="130"/>
      <c r="Z10" s="130"/>
      <c r="AA10" s="130"/>
      <c r="AB10" s="130"/>
      <c r="AC10" s="127">
        <f t="shared" si="4"/>
        <v>0</v>
      </c>
      <c r="AD10" s="130"/>
      <c r="AE10" s="130"/>
      <c r="AF10" s="130"/>
      <c r="AG10" s="130"/>
      <c r="AH10" s="130"/>
      <c r="AI10" s="130"/>
      <c r="AJ10" s="130"/>
      <c r="AK10" s="127">
        <f t="shared" si="5"/>
        <v>0</v>
      </c>
      <c r="AL10" s="130"/>
      <c r="AM10" s="130"/>
      <c r="AN10" s="130"/>
    </row>
    <row r="11" spans="1:40" x14ac:dyDescent="0.3">
      <c r="A11" s="100"/>
      <c r="B11" s="107" t="s">
        <v>38</v>
      </c>
      <c r="C11" s="107"/>
      <c r="D11" s="104">
        <f t="shared" si="0"/>
        <v>0</v>
      </c>
      <c r="E11" s="127">
        <f t="shared" si="1"/>
        <v>0</v>
      </c>
      <c r="F11" s="130"/>
      <c r="G11" s="74"/>
      <c r="H11" s="130"/>
      <c r="I11" s="130"/>
      <c r="J11" s="74"/>
      <c r="K11" s="130"/>
      <c r="L11" s="130"/>
      <c r="M11" s="127">
        <f t="shared" si="2"/>
        <v>0</v>
      </c>
      <c r="N11" s="130"/>
      <c r="O11" s="130"/>
      <c r="P11" s="130"/>
      <c r="Q11" s="130"/>
      <c r="R11" s="130"/>
      <c r="S11" s="130"/>
      <c r="T11" s="130"/>
      <c r="U11" s="127">
        <f t="shared" si="3"/>
        <v>0</v>
      </c>
      <c r="V11" s="130"/>
      <c r="W11" s="130"/>
      <c r="X11" s="130"/>
      <c r="Y11" s="130"/>
      <c r="Z11" s="130"/>
      <c r="AA11" s="130"/>
      <c r="AB11" s="130"/>
      <c r="AC11" s="127">
        <f t="shared" si="4"/>
        <v>0</v>
      </c>
      <c r="AD11" s="130"/>
      <c r="AE11" s="130"/>
      <c r="AF11" s="130"/>
      <c r="AG11" s="130"/>
      <c r="AH11" s="130"/>
      <c r="AI11" s="130"/>
      <c r="AJ11" s="130"/>
      <c r="AK11" s="127">
        <f t="shared" si="5"/>
        <v>0</v>
      </c>
      <c r="AL11" s="130"/>
      <c r="AM11" s="130"/>
      <c r="AN11" s="130"/>
    </row>
    <row r="12" spans="1:40" x14ac:dyDescent="0.3">
      <c r="A12" s="100"/>
      <c r="B12" s="107" t="s">
        <v>116</v>
      </c>
      <c r="C12" s="107"/>
      <c r="D12" s="104">
        <f t="shared" si="0"/>
        <v>0</v>
      </c>
      <c r="E12" s="127">
        <f t="shared" si="1"/>
        <v>0</v>
      </c>
      <c r="F12" s="130"/>
      <c r="G12" s="74"/>
      <c r="H12" s="130"/>
      <c r="I12" s="130"/>
      <c r="J12" s="74"/>
      <c r="K12" s="130"/>
      <c r="L12" s="130"/>
      <c r="M12" s="127">
        <f t="shared" si="2"/>
        <v>0</v>
      </c>
      <c r="N12" s="130"/>
      <c r="O12" s="130"/>
      <c r="P12" s="130"/>
      <c r="Q12" s="130"/>
      <c r="R12" s="130"/>
      <c r="S12" s="130"/>
      <c r="T12" s="130"/>
      <c r="U12" s="127">
        <f t="shared" si="3"/>
        <v>0</v>
      </c>
      <c r="V12" s="130"/>
      <c r="W12" s="130"/>
      <c r="X12" s="130"/>
      <c r="Y12" s="130"/>
      <c r="Z12" s="130"/>
      <c r="AA12" s="130"/>
      <c r="AB12" s="130"/>
      <c r="AC12" s="127">
        <f t="shared" si="4"/>
        <v>0</v>
      </c>
      <c r="AD12" s="130"/>
      <c r="AE12" s="130"/>
      <c r="AF12" s="130"/>
      <c r="AG12" s="130"/>
      <c r="AH12" s="130"/>
      <c r="AI12" s="130"/>
      <c r="AJ12" s="130"/>
      <c r="AK12" s="127">
        <f t="shared" si="5"/>
        <v>0</v>
      </c>
      <c r="AL12" s="130"/>
      <c r="AM12" s="130"/>
      <c r="AN12" s="130"/>
    </row>
    <row r="13" spans="1:40" x14ac:dyDescent="0.3">
      <c r="A13" s="100"/>
      <c r="B13" s="107" t="s">
        <v>46</v>
      </c>
      <c r="C13" s="107"/>
      <c r="D13" s="104">
        <f t="shared" si="0"/>
        <v>0</v>
      </c>
      <c r="E13" s="127">
        <f t="shared" si="1"/>
        <v>0</v>
      </c>
      <c r="F13" s="130"/>
      <c r="G13" s="74"/>
      <c r="H13" s="130"/>
      <c r="I13" s="130"/>
      <c r="J13" s="74"/>
      <c r="K13" s="130"/>
      <c r="L13" s="130"/>
      <c r="M13" s="127">
        <f t="shared" si="2"/>
        <v>0</v>
      </c>
      <c r="N13" s="130"/>
      <c r="O13" s="130"/>
      <c r="P13" s="130"/>
      <c r="Q13" s="130"/>
      <c r="R13" s="130"/>
      <c r="S13" s="130"/>
      <c r="T13" s="130"/>
      <c r="U13" s="127">
        <f t="shared" si="3"/>
        <v>0</v>
      </c>
      <c r="V13" s="130"/>
      <c r="W13" s="130"/>
      <c r="X13" s="130"/>
      <c r="Y13" s="130"/>
      <c r="Z13" s="130"/>
      <c r="AA13" s="130"/>
      <c r="AB13" s="130"/>
      <c r="AC13" s="127">
        <f t="shared" si="4"/>
        <v>0</v>
      </c>
      <c r="AD13" s="130"/>
      <c r="AE13" s="130"/>
      <c r="AF13" s="130"/>
      <c r="AG13" s="130"/>
      <c r="AH13" s="130"/>
      <c r="AI13" s="130"/>
      <c r="AJ13" s="130"/>
      <c r="AK13" s="127">
        <f t="shared" si="5"/>
        <v>0</v>
      </c>
      <c r="AL13" s="130"/>
      <c r="AM13" s="130"/>
      <c r="AN13" s="130"/>
    </row>
    <row r="14" spans="1:40" x14ac:dyDescent="0.3">
      <c r="A14" s="100"/>
      <c r="B14" s="107" t="s">
        <v>3</v>
      </c>
      <c r="C14" s="107"/>
      <c r="D14" s="104">
        <f t="shared" si="0"/>
        <v>0</v>
      </c>
      <c r="E14" s="127">
        <f t="shared" si="1"/>
        <v>0</v>
      </c>
      <c r="F14" s="130"/>
      <c r="G14" s="74"/>
      <c r="H14" s="130"/>
      <c r="I14" s="130"/>
      <c r="J14" s="74"/>
      <c r="K14" s="130"/>
      <c r="L14" s="130"/>
      <c r="M14" s="127">
        <f t="shared" si="2"/>
        <v>0</v>
      </c>
      <c r="N14" s="130"/>
      <c r="O14" s="130"/>
      <c r="P14" s="130"/>
      <c r="Q14" s="130"/>
      <c r="R14" s="130"/>
      <c r="S14" s="130"/>
      <c r="T14" s="130"/>
      <c r="U14" s="127">
        <f t="shared" si="3"/>
        <v>0</v>
      </c>
      <c r="V14" s="130"/>
      <c r="W14" s="130"/>
      <c r="X14" s="130"/>
      <c r="Y14" s="130"/>
      <c r="Z14" s="130"/>
      <c r="AA14" s="130"/>
      <c r="AB14" s="130"/>
      <c r="AC14" s="127">
        <f t="shared" si="4"/>
        <v>0</v>
      </c>
      <c r="AD14" s="130"/>
      <c r="AE14" s="130"/>
      <c r="AF14" s="130"/>
      <c r="AG14" s="130"/>
      <c r="AH14" s="130"/>
      <c r="AI14" s="130"/>
      <c r="AJ14" s="130"/>
      <c r="AK14" s="127">
        <f t="shared" si="5"/>
        <v>0</v>
      </c>
      <c r="AL14" s="130"/>
      <c r="AM14" s="130"/>
      <c r="AN14" s="130"/>
    </row>
    <row r="15" spans="1:40" x14ac:dyDescent="0.3">
      <c r="A15" s="100"/>
      <c r="B15" s="107" t="s">
        <v>235</v>
      </c>
      <c r="C15" s="107"/>
      <c r="D15" s="104">
        <f t="shared" si="0"/>
        <v>0</v>
      </c>
      <c r="E15" s="127">
        <f t="shared" si="1"/>
        <v>0</v>
      </c>
      <c r="F15" s="130"/>
      <c r="G15" s="74"/>
      <c r="H15" s="130"/>
      <c r="I15" s="130"/>
      <c r="J15" s="74"/>
      <c r="K15" s="130"/>
      <c r="L15" s="130"/>
      <c r="M15" s="127">
        <f t="shared" si="2"/>
        <v>0</v>
      </c>
      <c r="N15" s="130"/>
      <c r="O15" s="130"/>
      <c r="P15" s="130"/>
      <c r="Q15" s="130"/>
      <c r="R15" s="130"/>
      <c r="S15" s="130"/>
      <c r="T15" s="130"/>
      <c r="U15" s="127">
        <f t="shared" si="3"/>
        <v>0</v>
      </c>
      <c r="V15" s="130"/>
      <c r="W15" s="130"/>
      <c r="X15" s="130"/>
      <c r="Y15" s="130"/>
      <c r="Z15" s="130"/>
      <c r="AA15" s="130"/>
      <c r="AB15" s="130"/>
      <c r="AC15" s="127">
        <f t="shared" si="4"/>
        <v>0</v>
      </c>
      <c r="AD15" s="130"/>
      <c r="AE15" s="130"/>
      <c r="AF15" s="130"/>
      <c r="AG15" s="130"/>
      <c r="AH15" s="130"/>
      <c r="AI15" s="130"/>
      <c r="AJ15" s="130"/>
      <c r="AK15" s="127">
        <f t="shared" si="5"/>
        <v>0</v>
      </c>
      <c r="AL15" s="130"/>
      <c r="AM15" s="130"/>
      <c r="AN15" s="130"/>
    </row>
    <row r="16" spans="1:40" x14ac:dyDescent="0.3">
      <c r="A16" s="100"/>
      <c r="B16" s="107" t="s">
        <v>118</v>
      </c>
      <c r="C16" s="107"/>
      <c r="D16" s="104">
        <f t="shared" si="0"/>
        <v>0</v>
      </c>
      <c r="E16" s="127">
        <f t="shared" si="1"/>
        <v>0</v>
      </c>
      <c r="F16" s="130"/>
      <c r="G16" s="74"/>
      <c r="H16" s="130"/>
      <c r="I16" s="130"/>
      <c r="J16" s="74"/>
      <c r="K16" s="130"/>
      <c r="L16" s="130"/>
      <c r="M16" s="127">
        <f t="shared" si="2"/>
        <v>0</v>
      </c>
      <c r="N16" s="130"/>
      <c r="O16" s="130"/>
      <c r="P16" s="130"/>
      <c r="Q16" s="130"/>
      <c r="R16" s="130"/>
      <c r="S16" s="130"/>
      <c r="T16" s="130"/>
      <c r="U16" s="127">
        <f t="shared" si="3"/>
        <v>0</v>
      </c>
      <c r="V16" s="130"/>
      <c r="W16" s="130"/>
      <c r="X16" s="130"/>
      <c r="Y16" s="130"/>
      <c r="Z16" s="130"/>
      <c r="AA16" s="130"/>
      <c r="AB16" s="130"/>
      <c r="AC16" s="127">
        <f t="shared" si="4"/>
        <v>0</v>
      </c>
      <c r="AD16" s="130"/>
      <c r="AE16" s="130"/>
      <c r="AF16" s="130"/>
      <c r="AG16" s="130"/>
      <c r="AH16" s="130"/>
      <c r="AI16" s="130"/>
      <c r="AJ16" s="130"/>
      <c r="AK16" s="127">
        <f t="shared" si="5"/>
        <v>0</v>
      </c>
      <c r="AL16" s="130"/>
      <c r="AM16" s="130"/>
      <c r="AN16" s="130"/>
    </row>
    <row r="17" spans="1:40" x14ac:dyDescent="0.3">
      <c r="A17" s="100"/>
      <c r="B17" s="107" t="s">
        <v>13</v>
      </c>
      <c r="C17" s="107"/>
      <c r="D17" s="104">
        <f t="shared" si="0"/>
        <v>0</v>
      </c>
      <c r="E17" s="127">
        <f t="shared" si="1"/>
        <v>0</v>
      </c>
      <c r="F17" s="130"/>
      <c r="G17" s="74"/>
      <c r="H17" s="130"/>
      <c r="I17" s="130"/>
      <c r="J17" s="74"/>
      <c r="K17" s="130"/>
      <c r="L17" s="130"/>
      <c r="M17" s="127">
        <f t="shared" si="2"/>
        <v>0</v>
      </c>
      <c r="N17" s="130"/>
      <c r="O17" s="130"/>
      <c r="P17" s="130"/>
      <c r="Q17" s="130"/>
      <c r="R17" s="130"/>
      <c r="S17" s="130"/>
      <c r="T17" s="130"/>
      <c r="U17" s="127">
        <f t="shared" si="3"/>
        <v>0</v>
      </c>
      <c r="V17" s="130"/>
      <c r="W17" s="130"/>
      <c r="X17" s="130"/>
      <c r="Y17" s="130"/>
      <c r="Z17" s="130"/>
      <c r="AA17" s="130"/>
      <c r="AB17" s="130"/>
      <c r="AC17" s="127">
        <f t="shared" si="4"/>
        <v>0</v>
      </c>
      <c r="AD17" s="130"/>
      <c r="AE17" s="130"/>
      <c r="AF17" s="130"/>
      <c r="AG17" s="130"/>
      <c r="AH17" s="130"/>
      <c r="AI17" s="130"/>
      <c r="AJ17" s="130"/>
      <c r="AK17" s="127">
        <f t="shared" si="5"/>
        <v>0</v>
      </c>
      <c r="AL17" s="130"/>
      <c r="AM17" s="130"/>
      <c r="AN17" s="130"/>
    </row>
    <row r="18" spans="1:40" x14ac:dyDescent="0.3">
      <c r="A18" s="100"/>
      <c r="B18" s="107" t="s">
        <v>26</v>
      </c>
      <c r="C18" s="107"/>
      <c r="D18" s="104">
        <f t="shared" si="0"/>
        <v>0</v>
      </c>
      <c r="E18" s="127">
        <f t="shared" si="1"/>
        <v>0</v>
      </c>
      <c r="F18" s="130"/>
      <c r="G18" s="74"/>
      <c r="H18" s="130"/>
      <c r="I18" s="130"/>
      <c r="J18" s="74"/>
      <c r="K18" s="130"/>
      <c r="L18" s="130"/>
      <c r="M18" s="127">
        <f t="shared" si="2"/>
        <v>0</v>
      </c>
      <c r="N18" s="74"/>
      <c r="O18" s="130"/>
      <c r="P18" s="130"/>
      <c r="Q18" s="130"/>
      <c r="R18" s="130"/>
      <c r="S18" s="130"/>
      <c r="T18" s="130"/>
      <c r="U18" s="127">
        <f t="shared" si="3"/>
        <v>0</v>
      </c>
      <c r="V18" s="130"/>
      <c r="W18" s="130"/>
      <c r="X18" s="130"/>
      <c r="Y18" s="130"/>
      <c r="Z18" s="130"/>
      <c r="AA18" s="130"/>
      <c r="AB18" s="130"/>
      <c r="AC18" s="127">
        <f t="shared" si="4"/>
        <v>0</v>
      </c>
      <c r="AD18" s="130"/>
      <c r="AE18" s="130"/>
      <c r="AF18" s="130"/>
      <c r="AG18" s="130"/>
      <c r="AH18" s="130"/>
      <c r="AI18" s="130"/>
      <c r="AJ18" s="130"/>
      <c r="AK18" s="127">
        <f t="shared" si="5"/>
        <v>0</v>
      </c>
      <c r="AL18" s="130"/>
      <c r="AM18" s="130"/>
      <c r="AN18" s="130"/>
    </row>
    <row r="19" spans="1:40" x14ac:dyDescent="0.3">
      <c r="A19" s="100"/>
      <c r="B19" s="103" t="s">
        <v>1</v>
      </c>
      <c r="C19" s="103"/>
      <c r="D19" s="104">
        <f t="shared" si="0"/>
        <v>64000</v>
      </c>
      <c r="E19" s="127">
        <f t="shared" si="1"/>
        <v>19982</v>
      </c>
      <c r="F19" s="74">
        <f>867+2358</f>
        <v>3225</v>
      </c>
      <c r="G19" s="74">
        <f>1739+780</f>
        <v>2519</v>
      </c>
      <c r="H19" s="74">
        <f>950+1360</f>
        <v>2310</v>
      </c>
      <c r="I19" s="74">
        <f>960+2220</f>
        <v>3180</v>
      </c>
      <c r="J19" s="74">
        <v>2358</v>
      </c>
      <c r="K19" s="74">
        <f>1420+2770</f>
        <v>4190</v>
      </c>
      <c r="L19" s="74">
        <f>1480+720</f>
        <v>2200</v>
      </c>
      <c r="M19" s="127">
        <f t="shared" si="2"/>
        <v>16486</v>
      </c>
      <c r="N19" s="74">
        <f>1420+2190</f>
        <v>3610</v>
      </c>
      <c r="O19" s="74">
        <v>2358</v>
      </c>
      <c r="P19" s="74">
        <v>1080</v>
      </c>
      <c r="Q19" s="74">
        <f>720+1360</f>
        <v>2080</v>
      </c>
      <c r="R19" s="74">
        <v>1770</v>
      </c>
      <c r="S19" s="74">
        <v>2358</v>
      </c>
      <c r="T19" s="70">
        <v>3230</v>
      </c>
      <c r="U19" s="127">
        <f t="shared" si="3"/>
        <v>12756</v>
      </c>
      <c r="V19" s="70">
        <v>2430</v>
      </c>
      <c r="W19" s="130">
        <v>1370</v>
      </c>
      <c r="X19" s="130">
        <v>2358</v>
      </c>
      <c r="Y19" s="130">
        <v>1130</v>
      </c>
      <c r="Z19" s="130">
        <v>660</v>
      </c>
      <c r="AA19" s="130">
        <v>2450</v>
      </c>
      <c r="AB19" s="130">
        <v>2358</v>
      </c>
      <c r="AC19" s="127">
        <f t="shared" si="4"/>
        <v>10308</v>
      </c>
      <c r="AD19" s="130">
        <v>1700</v>
      </c>
      <c r="AE19" s="130">
        <v>810</v>
      </c>
      <c r="AF19" s="130">
        <v>2200</v>
      </c>
      <c r="AG19" s="130">
        <v>2358</v>
      </c>
      <c r="AH19" s="130">
        <v>1550</v>
      </c>
      <c r="AI19" s="130">
        <v>700</v>
      </c>
      <c r="AJ19" s="130">
        <v>990</v>
      </c>
      <c r="AK19" s="127">
        <f t="shared" si="5"/>
        <v>4468</v>
      </c>
      <c r="AL19" s="130">
        <v>2358</v>
      </c>
      <c r="AM19" s="130">
        <v>1450</v>
      </c>
      <c r="AN19" s="130">
        <v>660</v>
      </c>
    </row>
    <row r="20" spans="1:40" x14ac:dyDescent="0.3">
      <c r="A20" s="100"/>
      <c r="B20" s="107" t="s">
        <v>236</v>
      </c>
      <c r="C20" s="107"/>
      <c r="D20" s="104">
        <f t="shared" si="0"/>
        <v>0</v>
      </c>
      <c r="E20" s="127">
        <f t="shared" si="1"/>
        <v>0</v>
      </c>
      <c r="F20" s="74"/>
      <c r="G20" s="74"/>
      <c r="H20" s="74"/>
      <c r="I20" s="74"/>
      <c r="J20" s="74"/>
      <c r="K20" s="74"/>
      <c r="L20" s="74"/>
      <c r="M20" s="127">
        <f t="shared" si="2"/>
        <v>0</v>
      </c>
      <c r="N20" s="74"/>
      <c r="O20" s="74"/>
      <c r="P20" s="74"/>
      <c r="Q20" s="74"/>
      <c r="R20" s="74"/>
      <c r="S20" s="74"/>
      <c r="T20" s="70"/>
      <c r="U20" s="127">
        <f t="shared" si="3"/>
        <v>0</v>
      </c>
      <c r="V20" s="70"/>
      <c r="W20" s="130"/>
      <c r="X20" s="130"/>
      <c r="Y20" s="130"/>
      <c r="Z20" s="130"/>
      <c r="AA20" s="130"/>
      <c r="AB20" s="130"/>
      <c r="AC20" s="127">
        <f t="shared" si="4"/>
        <v>0</v>
      </c>
      <c r="AD20" s="130"/>
      <c r="AE20" s="130"/>
      <c r="AF20" s="130"/>
      <c r="AG20" s="130"/>
      <c r="AH20" s="130"/>
      <c r="AI20" s="130"/>
      <c r="AJ20" s="130"/>
      <c r="AK20" s="127">
        <f t="shared" si="5"/>
        <v>0</v>
      </c>
      <c r="AL20" s="130"/>
      <c r="AM20" s="130"/>
      <c r="AN20" s="130"/>
    </row>
    <row r="21" spans="1:40" x14ac:dyDescent="0.3">
      <c r="A21" s="100"/>
      <c r="B21" s="108" t="s">
        <v>237</v>
      </c>
      <c r="C21" s="109"/>
      <c r="D21" s="104">
        <f t="shared" si="0"/>
        <v>3927</v>
      </c>
      <c r="E21" s="127">
        <f t="shared" si="1"/>
        <v>957</v>
      </c>
      <c r="F21" s="74">
        <v>76</v>
      </c>
      <c r="G21" s="74">
        <v>83</v>
      </c>
      <c r="H21" s="74">
        <v>56</v>
      </c>
      <c r="I21" s="74">
        <v>85</v>
      </c>
      <c r="J21" s="74">
        <v>456</v>
      </c>
      <c r="K21" s="74">
        <f>25+117</f>
        <v>142</v>
      </c>
      <c r="L21" s="74">
        <f>33+26</f>
        <v>59</v>
      </c>
      <c r="M21" s="127">
        <f t="shared" si="2"/>
        <v>1073</v>
      </c>
      <c r="N21" s="74">
        <v>70</v>
      </c>
      <c r="O21" s="74">
        <v>436</v>
      </c>
      <c r="P21" s="74">
        <v>24</v>
      </c>
      <c r="Q21" s="74">
        <v>59</v>
      </c>
      <c r="R21" s="74">
        <v>58</v>
      </c>
      <c r="S21" s="74">
        <v>286</v>
      </c>
      <c r="T21" s="70">
        <v>140</v>
      </c>
      <c r="U21" s="127">
        <f t="shared" si="3"/>
        <v>715</v>
      </c>
      <c r="V21" s="70">
        <v>42</v>
      </c>
      <c r="W21" s="130">
        <v>40</v>
      </c>
      <c r="X21" s="130">
        <v>248</v>
      </c>
      <c r="Y21" s="130">
        <v>109</v>
      </c>
      <c r="Z21" s="130">
        <v>10</v>
      </c>
      <c r="AA21" s="130">
        <v>30</v>
      </c>
      <c r="AB21" s="130">
        <v>236</v>
      </c>
      <c r="AC21" s="127">
        <f t="shared" si="4"/>
        <v>717</v>
      </c>
      <c r="AD21" s="130">
        <v>172</v>
      </c>
      <c r="AE21" s="130">
        <v>17</v>
      </c>
      <c r="AF21" s="130">
        <v>35</v>
      </c>
      <c r="AG21" s="130">
        <v>316</v>
      </c>
      <c r="AH21" s="130">
        <v>132</v>
      </c>
      <c r="AI21" s="130">
        <v>10</v>
      </c>
      <c r="AJ21" s="130">
        <v>35</v>
      </c>
      <c r="AK21" s="127">
        <f t="shared" si="5"/>
        <v>465</v>
      </c>
      <c r="AL21" s="130">
        <v>316</v>
      </c>
      <c r="AM21" s="130">
        <v>124</v>
      </c>
      <c r="AN21" s="130">
        <v>25</v>
      </c>
    </row>
    <row r="22" spans="1:40" x14ac:dyDescent="0.3">
      <c r="A22" s="100"/>
      <c r="B22" s="103" t="s">
        <v>15</v>
      </c>
      <c r="C22" s="103"/>
      <c r="D22" s="104">
        <f t="shared" si="0"/>
        <v>11789</v>
      </c>
      <c r="E22" s="127">
        <f t="shared" si="1"/>
        <v>2769</v>
      </c>
      <c r="F22" s="74">
        <f>88+143</f>
        <v>231</v>
      </c>
      <c r="G22" s="74">
        <v>308</v>
      </c>
      <c r="H22" s="74">
        <v>165</v>
      </c>
      <c r="I22" s="74">
        <v>440</v>
      </c>
      <c r="J22" s="74">
        <v>895</v>
      </c>
      <c r="K22" s="74">
        <f>215+305</f>
        <v>520</v>
      </c>
      <c r="L22" s="74">
        <v>210</v>
      </c>
      <c r="M22" s="127">
        <f t="shared" si="2"/>
        <v>3135</v>
      </c>
      <c r="N22" s="74">
        <v>505</v>
      </c>
      <c r="O22" s="74">
        <v>905</v>
      </c>
      <c r="P22" s="74">
        <v>110</v>
      </c>
      <c r="Q22" s="74">
        <v>230</v>
      </c>
      <c r="R22" s="74">
        <v>490</v>
      </c>
      <c r="S22" s="74">
        <v>625</v>
      </c>
      <c r="T22" s="70">
        <v>270</v>
      </c>
      <c r="U22" s="127">
        <f t="shared" si="3"/>
        <v>2120</v>
      </c>
      <c r="V22" s="70">
        <v>210</v>
      </c>
      <c r="W22" s="130">
        <v>285</v>
      </c>
      <c r="X22" s="130">
        <v>470</v>
      </c>
      <c r="Y22" s="130">
        <v>160</v>
      </c>
      <c r="Z22" s="130">
        <v>100</v>
      </c>
      <c r="AA22" s="130">
        <v>270</v>
      </c>
      <c r="AB22" s="130">
        <v>625</v>
      </c>
      <c r="AC22" s="127">
        <f t="shared" si="4"/>
        <v>2610</v>
      </c>
      <c r="AD22" s="129">
        <v>770</v>
      </c>
      <c r="AE22" s="129">
        <v>100</v>
      </c>
      <c r="AF22" s="129">
        <v>270</v>
      </c>
      <c r="AG22" s="129">
        <v>700</v>
      </c>
      <c r="AH22" s="129">
        <v>425</v>
      </c>
      <c r="AI22" s="129">
        <v>75</v>
      </c>
      <c r="AJ22" s="129">
        <v>270</v>
      </c>
      <c r="AK22" s="127">
        <f t="shared" si="5"/>
        <v>1155</v>
      </c>
      <c r="AL22" s="129">
        <v>700</v>
      </c>
      <c r="AM22" s="129">
        <v>385</v>
      </c>
      <c r="AN22" s="129">
        <v>70</v>
      </c>
    </row>
    <row r="23" spans="1:40" x14ac:dyDescent="0.3">
      <c r="A23" s="100"/>
      <c r="B23" s="103" t="s">
        <v>9</v>
      </c>
      <c r="C23" s="103"/>
      <c r="D23" s="104">
        <f t="shared" si="0"/>
        <v>2831</v>
      </c>
      <c r="E23" s="127">
        <f t="shared" si="1"/>
        <v>825</v>
      </c>
      <c r="F23" s="74">
        <f>91+41</f>
        <v>132</v>
      </c>
      <c r="G23" s="74">
        <v>102</v>
      </c>
      <c r="H23" s="74">
        <v>95</v>
      </c>
      <c r="I23" s="74">
        <v>140</v>
      </c>
      <c r="J23" s="74">
        <v>170</v>
      </c>
      <c r="K23" s="74">
        <v>91</v>
      </c>
      <c r="L23" s="74">
        <v>95</v>
      </c>
      <c r="M23" s="127">
        <f t="shared" si="2"/>
        <v>818</v>
      </c>
      <c r="N23" s="74">
        <v>130</v>
      </c>
      <c r="O23" s="74">
        <v>260</v>
      </c>
      <c r="P23" s="74">
        <v>33</v>
      </c>
      <c r="Q23" s="74">
        <v>95</v>
      </c>
      <c r="R23" s="74">
        <v>113</v>
      </c>
      <c r="S23" s="74">
        <v>120</v>
      </c>
      <c r="T23" s="70">
        <v>67</v>
      </c>
      <c r="U23" s="127">
        <f t="shared" si="3"/>
        <v>473</v>
      </c>
      <c r="V23" s="70">
        <v>55</v>
      </c>
      <c r="W23" s="129">
        <v>70</v>
      </c>
      <c r="X23" s="129">
        <v>110</v>
      </c>
      <c r="Y23" s="129">
        <v>23</v>
      </c>
      <c r="Z23" s="129">
        <v>30</v>
      </c>
      <c r="AA23" s="129">
        <v>65</v>
      </c>
      <c r="AB23" s="129">
        <v>120</v>
      </c>
      <c r="AC23" s="127">
        <f t="shared" si="4"/>
        <v>498</v>
      </c>
      <c r="AD23" s="129">
        <v>113</v>
      </c>
      <c r="AE23" s="129">
        <v>32</v>
      </c>
      <c r="AF23" s="129">
        <v>65</v>
      </c>
      <c r="AG23" s="129">
        <v>86</v>
      </c>
      <c r="AH23" s="129">
        <v>113</v>
      </c>
      <c r="AI23" s="129">
        <v>24</v>
      </c>
      <c r="AJ23" s="129">
        <v>65</v>
      </c>
      <c r="AK23" s="127">
        <f t="shared" si="5"/>
        <v>217</v>
      </c>
      <c r="AL23" s="129">
        <v>86</v>
      </c>
      <c r="AM23" s="129">
        <v>100</v>
      </c>
      <c r="AN23" s="129">
        <v>31</v>
      </c>
    </row>
    <row r="24" spans="1:40" x14ac:dyDescent="0.3">
      <c r="A24" s="100"/>
      <c r="B24" s="100" t="s">
        <v>35</v>
      </c>
      <c r="C24" s="100"/>
      <c r="D24" s="104">
        <f t="shared" si="0"/>
        <v>0</v>
      </c>
      <c r="E24" s="127">
        <f t="shared" si="1"/>
        <v>0</v>
      </c>
      <c r="F24" s="129"/>
      <c r="G24" s="129"/>
      <c r="H24" s="129"/>
      <c r="I24" s="129"/>
      <c r="J24" s="129"/>
      <c r="K24" s="129"/>
      <c r="L24" s="129"/>
      <c r="M24" s="127">
        <f t="shared" si="2"/>
        <v>0</v>
      </c>
      <c r="N24" s="129"/>
      <c r="O24" s="74"/>
      <c r="P24" s="129"/>
      <c r="Q24" s="129"/>
      <c r="R24" s="129"/>
      <c r="S24" s="129"/>
      <c r="T24" s="129"/>
      <c r="U24" s="127">
        <f t="shared" si="3"/>
        <v>0</v>
      </c>
      <c r="V24" s="129"/>
      <c r="W24" s="129"/>
      <c r="X24" s="129"/>
      <c r="Y24" s="129"/>
      <c r="Z24" s="129"/>
      <c r="AA24" s="129"/>
      <c r="AB24" s="129"/>
      <c r="AC24" s="127">
        <f t="shared" si="4"/>
        <v>0</v>
      </c>
      <c r="AD24" s="129"/>
      <c r="AE24" s="129"/>
      <c r="AF24" s="129"/>
      <c r="AG24" s="129"/>
      <c r="AH24" s="129"/>
      <c r="AI24" s="129"/>
      <c r="AJ24" s="129"/>
      <c r="AK24" s="127">
        <f t="shared" si="5"/>
        <v>0</v>
      </c>
      <c r="AL24" s="129"/>
      <c r="AM24" s="129"/>
      <c r="AN24" s="129"/>
    </row>
    <row r="25" spans="1:40" x14ac:dyDescent="0.3">
      <c r="A25" s="97" t="s">
        <v>4</v>
      </c>
      <c r="B25" s="97"/>
      <c r="C25" s="97"/>
      <c r="D25" s="110">
        <f t="shared" ref="D25:AN25" si="6">SUM(D6:D24)</f>
        <v>183808</v>
      </c>
      <c r="E25" s="110">
        <f t="shared" si="6"/>
        <v>48103</v>
      </c>
      <c r="F25" s="110">
        <f t="shared" si="6"/>
        <v>8639</v>
      </c>
      <c r="G25" s="110">
        <f t="shared" si="6"/>
        <v>4792</v>
      </c>
      <c r="H25" s="110">
        <f t="shared" si="6"/>
        <v>5346</v>
      </c>
      <c r="I25" s="110">
        <f t="shared" si="6"/>
        <v>6055</v>
      </c>
      <c r="J25" s="110">
        <f t="shared" si="6"/>
        <v>10479</v>
      </c>
      <c r="K25" s="110">
        <f t="shared" si="6"/>
        <v>7298</v>
      </c>
      <c r="L25" s="110">
        <f t="shared" si="6"/>
        <v>5494</v>
      </c>
      <c r="M25" s="110">
        <f t="shared" si="6"/>
        <v>46164</v>
      </c>
      <c r="N25" s="110">
        <f t="shared" si="6"/>
        <v>6900</v>
      </c>
      <c r="O25" s="110">
        <f t="shared" si="6"/>
        <v>9810</v>
      </c>
      <c r="P25" s="110">
        <f t="shared" si="6"/>
        <v>3807</v>
      </c>
      <c r="Q25" s="110">
        <f t="shared" si="6"/>
        <v>5364</v>
      </c>
      <c r="R25" s="110">
        <f t="shared" si="6"/>
        <v>4751</v>
      </c>
      <c r="S25" s="110">
        <f t="shared" si="6"/>
        <v>9040</v>
      </c>
      <c r="T25" s="110">
        <f t="shared" si="6"/>
        <v>6492</v>
      </c>
      <c r="U25" s="110">
        <f t="shared" si="6"/>
        <v>39377</v>
      </c>
      <c r="V25" s="110">
        <f t="shared" si="6"/>
        <v>5767</v>
      </c>
      <c r="W25" s="110">
        <f t="shared" si="6"/>
        <v>4235</v>
      </c>
      <c r="X25" s="110">
        <f t="shared" si="6"/>
        <v>8447</v>
      </c>
      <c r="Y25" s="110">
        <f t="shared" si="6"/>
        <v>3223</v>
      </c>
      <c r="Z25" s="110">
        <f t="shared" si="6"/>
        <v>3900</v>
      </c>
      <c r="AA25" s="110">
        <f t="shared" si="6"/>
        <v>5915</v>
      </c>
      <c r="AB25" s="110">
        <f t="shared" si="6"/>
        <v>7890</v>
      </c>
      <c r="AC25" s="110">
        <f t="shared" si="6"/>
        <v>34703</v>
      </c>
      <c r="AD25" s="110">
        <f t="shared" si="6"/>
        <v>6299</v>
      </c>
      <c r="AE25" s="110">
        <f t="shared" si="6"/>
        <v>3849</v>
      </c>
      <c r="AF25" s="110">
        <f t="shared" si="6"/>
        <v>5260</v>
      </c>
      <c r="AG25" s="110">
        <f t="shared" si="6"/>
        <v>8082</v>
      </c>
      <c r="AH25" s="110">
        <f t="shared" si="6"/>
        <v>4374</v>
      </c>
      <c r="AI25" s="110">
        <f t="shared" si="6"/>
        <v>3469</v>
      </c>
      <c r="AJ25" s="110">
        <f t="shared" si="6"/>
        <v>3370</v>
      </c>
      <c r="AK25" s="110">
        <f t="shared" si="6"/>
        <v>15461</v>
      </c>
      <c r="AL25" s="110">
        <f t="shared" si="6"/>
        <v>8082</v>
      </c>
      <c r="AM25" s="110">
        <f t="shared" si="6"/>
        <v>4213</v>
      </c>
      <c r="AN25" s="110">
        <f t="shared" si="6"/>
        <v>3166</v>
      </c>
    </row>
    <row r="26" spans="1:40" x14ac:dyDescent="0.3">
      <c r="A26" s="100"/>
      <c r="B26" s="100" t="s">
        <v>6</v>
      </c>
      <c r="C26" s="56" t="s">
        <v>32</v>
      </c>
      <c r="D26" s="104">
        <f t="shared" ref="D26:D29" si="7">SUM(F26:AJ26)</f>
        <v>0</v>
      </c>
      <c r="E26" s="127">
        <f t="shared" ref="E26:E27" si="8">SUM(F26:L26)</f>
        <v>0</v>
      </c>
      <c r="F26" s="74"/>
      <c r="G26" s="74"/>
      <c r="H26" s="74"/>
      <c r="I26" s="74"/>
      <c r="J26" s="74"/>
      <c r="K26" s="74"/>
      <c r="L26" s="74"/>
      <c r="M26" s="127">
        <f t="shared" ref="M26:M27" si="9">SUM(N26:T26)</f>
        <v>0</v>
      </c>
      <c r="N26" s="74"/>
      <c r="O26" s="74"/>
      <c r="P26" s="74"/>
      <c r="Q26" s="74"/>
      <c r="R26" s="74"/>
      <c r="S26" s="74"/>
      <c r="T26" s="74"/>
      <c r="U26" s="127">
        <f t="shared" ref="U26:U27" si="10">SUM(V26:AB26)</f>
        <v>0</v>
      </c>
      <c r="V26" s="74"/>
      <c r="W26" s="70"/>
      <c r="X26" s="70"/>
      <c r="Y26" s="70"/>
      <c r="Z26" s="70"/>
      <c r="AA26" s="70"/>
      <c r="AB26" s="70"/>
      <c r="AC26" s="127">
        <f t="shared" ref="AC26:AC27" si="11">SUM(AD26:AJ26)</f>
        <v>0</v>
      </c>
      <c r="AD26" s="70"/>
      <c r="AE26" s="70"/>
      <c r="AF26" s="70"/>
      <c r="AG26" s="70"/>
      <c r="AH26" s="70"/>
      <c r="AI26" s="70"/>
      <c r="AJ26" s="70"/>
      <c r="AK26" s="127">
        <f t="shared" ref="AK26:AK27" si="12">SUM(AL26:AR26)</f>
        <v>0</v>
      </c>
      <c r="AL26" s="70"/>
      <c r="AM26" s="70"/>
      <c r="AN26" s="70"/>
    </row>
    <row r="27" spans="1:40" x14ac:dyDescent="0.3">
      <c r="A27" s="100"/>
      <c r="B27" s="100"/>
      <c r="C27" s="56" t="s">
        <v>121</v>
      </c>
      <c r="D27" s="104">
        <f t="shared" si="7"/>
        <v>97294</v>
      </c>
      <c r="E27" s="127">
        <f t="shared" si="8"/>
        <v>16804</v>
      </c>
      <c r="F27" s="74">
        <f>2015+1096</f>
        <v>3111</v>
      </c>
      <c r="G27" s="74">
        <f>440+1178</f>
        <v>1618</v>
      </c>
      <c r="H27" s="74">
        <f>1690+1250</f>
        <v>2940</v>
      </c>
      <c r="I27" s="74">
        <f>1120+700</f>
        <v>1820</v>
      </c>
      <c r="J27" s="74">
        <v>2015</v>
      </c>
      <c r="K27" s="74">
        <f>1740+1250</f>
        <v>2990</v>
      </c>
      <c r="L27" s="74">
        <f>1690+620</f>
        <v>2310</v>
      </c>
      <c r="M27" s="127">
        <f t="shared" si="9"/>
        <v>15120</v>
      </c>
      <c r="N27" s="74">
        <v>2850</v>
      </c>
      <c r="O27" s="74">
        <v>2015</v>
      </c>
      <c r="P27" s="74">
        <v>930</v>
      </c>
      <c r="Q27" s="74">
        <v>2220</v>
      </c>
      <c r="R27" s="74">
        <v>2760</v>
      </c>
      <c r="S27" s="74">
        <v>2015</v>
      </c>
      <c r="T27" s="70">
        <f>920+1410</f>
        <v>2330</v>
      </c>
      <c r="U27" s="127">
        <f t="shared" si="10"/>
        <v>13920</v>
      </c>
      <c r="V27" s="70">
        <f>1390+1930</f>
        <v>3320</v>
      </c>
      <c r="W27" s="70">
        <v>1790</v>
      </c>
      <c r="X27" s="70">
        <v>2015</v>
      </c>
      <c r="Y27" s="70">
        <v>810</v>
      </c>
      <c r="Z27" s="70">
        <v>2010</v>
      </c>
      <c r="AA27" s="70">
        <v>1960</v>
      </c>
      <c r="AB27" s="70">
        <v>2015</v>
      </c>
      <c r="AC27" s="127">
        <f t="shared" si="11"/>
        <v>11205</v>
      </c>
      <c r="AD27" s="70">
        <v>1720</v>
      </c>
      <c r="AE27" s="70">
        <v>1660</v>
      </c>
      <c r="AF27" s="70">
        <v>1770</v>
      </c>
      <c r="AG27" s="70">
        <v>2015</v>
      </c>
      <c r="AH27" s="70">
        <v>1130</v>
      </c>
      <c r="AI27" s="70">
        <v>1380</v>
      </c>
      <c r="AJ27" s="70">
        <v>1530</v>
      </c>
      <c r="AK27" s="127">
        <f t="shared" si="12"/>
        <v>4125</v>
      </c>
      <c r="AL27" s="70">
        <v>2015</v>
      </c>
      <c r="AM27" s="70">
        <v>890</v>
      </c>
      <c r="AN27" s="70">
        <v>1220</v>
      </c>
    </row>
    <row r="28" spans="1:40" x14ac:dyDescent="0.3">
      <c r="A28" s="97" t="s">
        <v>4</v>
      </c>
      <c r="B28" s="97"/>
      <c r="C28" s="97"/>
      <c r="D28" s="104">
        <f t="shared" si="7"/>
        <v>97294</v>
      </c>
      <c r="E28" s="110">
        <f t="shared" ref="E28:AN28" si="13">SUM(E26:E27)</f>
        <v>16804</v>
      </c>
      <c r="F28" s="131">
        <f t="shared" si="13"/>
        <v>3111</v>
      </c>
      <c r="G28" s="131">
        <f t="shared" si="13"/>
        <v>1618</v>
      </c>
      <c r="H28" s="131">
        <f t="shared" si="13"/>
        <v>2940</v>
      </c>
      <c r="I28" s="131">
        <f t="shared" si="13"/>
        <v>1820</v>
      </c>
      <c r="J28" s="131">
        <f t="shared" si="13"/>
        <v>2015</v>
      </c>
      <c r="K28" s="131">
        <f t="shared" si="13"/>
        <v>2990</v>
      </c>
      <c r="L28" s="131">
        <f t="shared" si="13"/>
        <v>2310</v>
      </c>
      <c r="M28" s="110">
        <f t="shared" si="13"/>
        <v>15120</v>
      </c>
      <c r="N28" s="131">
        <f t="shared" si="13"/>
        <v>2850</v>
      </c>
      <c r="O28" s="131">
        <f t="shared" si="13"/>
        <v>2015</v>
      </c>
      <c r="P28" s="131">
        <f t="shared" si="13"/>
        <v>930</v>
      </c>
      <c r="Q28" s="131">
        <f t="shared" si="13"/>
        <v>2220</v>
      </c>
      <c r="R28" s="131">
        <f t="shared" si="13"/>
        <v>2760</v>
      </c>
      <c r="S28" s="131">
        <f t="shared" si="13"/>
        <v>2015</v>
      </c>
      <c r="T28" s="131">
        <f t="shared" si="13"/>
        <v>2330</v>
      </c>
      <c r="U28" s="110">
        <f t="shared" si="13"/>
        <v>13920</v>
      </c>
      <c r="V28" s="131">
        <f t="shared" si="13"/>
        <v>3320</v>
      </c>
      <c r="W28" s="131">
        <f t="shared" si="13"/>
        <v>1790</v>
      </c>
      <c r="X28" s="131">
        <f t="shared" si="13"/>
        <v>2015</v>
      </c>
      <c r="Y28" s="131">
        <f t="shared" si="13"/>
        <v>810</v>
      </c>
      <c r="Z28" s="131">
        <f t="shared" si="13"/>
        <v>2010</v>
      </c>
      <c r="AA28" s="131">
        <f t="shared" si="13"/>
        <v>1960</v>
      </c>
      <c r="AB28" s="131">
        <f t="shared" si="13"/>
        <v>2015</v>
      </c>
      <c r="AC28" s="110">
        <f t="shared" si="13"/>
        <v>11205</v>
      </c>
      <c r="AD28" s="131">
        <f t="shared" si="13"/>
        <v>1720</v>
      </c>
      <c r="AE28" s="131">
        <f t="shared" si="13"/>
        <v>1660</v>
      </c>
      <c r="AF28" s="131">
        <f t="shared" si="13"/>
        <v>1770</v>
      </c>
      <c r="AG28" s="131">
        <f t="shared" si="13"/>
        <v>2015</v>
      </c>
      <c r="AH28" s="131">
        <f t="shared" si="13"/>
        <v>1130</v>
      </c>
      <c r="AI28" s="131">
        <f t="shared" si="13"/>
        <v>1380</v>
      </c>
      <c r="AJ28" s="131">
        <f t="shared" si="13"/>
        <v>1530</v>
      </c>
      <c r="AK28" s="110">
        <f t="shared" si="13"/>
        <v>4125</v>
      </c>
      <c r="AL28" s="131">
        <f t="shared" si="13"/>
        <v>2015</v>
      </c>
      <c r="AM28" s="131">
        <f t="shared" si="13"/>
        <v>890</v>
      </c>
      <c r="AN28" s="131">
        <f t="shared" si="13"/>
        <v>1220</v>
      </c>
    </row>
    <row r="29" spans="1:40" x14ac:dyDescent="0.3">
      <c r="A29" s="113" t="s">
        <v>87</v>
      </c>
      <c r="B29" s="113"/>
      <c r="C29" s="113"/>
      <c r="D29" s="114">
        <f t="shared" si="7"/>
        <v>385885</v>
      </c>
      <c r="E29" s="132">
        <f t="shared" ref="E29:AN29" si="14">SUM(E25,E28)</f>
        <v>64907</v>
      </c>
      <c r="F29" s="132">
        <f t="shared" si="14"/>
        <v>11750</v>
      </c>
      <c r="G29" s="134">
        <f t="shared" si="14"/>
        <v>6410</v>
      </c>
      <c r="H29" s="134">
        <f t="shared" si="14"/>
        <v>8286</v>
      </c>
      <c r="I29" s="134">
        <f t="shared" si="14"/>
        <v>7875</v>
      </c>
      <c r="J29" s="134">
        <f t="shared" si="14"/>
        <v>12494</v>
      </c>
      <c r="K29" s="134">
        <f t="shared" si="14"/>
        <v>10288</v>
      </c>
      <c r="L29" s="134">
        <f t="shared" si="14"/>
        <v>7804</v>
      </c>
      <c r="M29" s="132">
        <f t="shared" si="14"/>
        <v>61284</v>
      </c>
      <c r="N29" s="134">
        <f t="shared" si="14"/>
        <v>9750</v>
      </c>
      <c r="O29" s="134">
        <f t="shared" si="14"/>
        <v>11825</v>
      </c>
      <c r="P29" s="134">
        <f t="shared" si="14"/>
        <v>4737</v>
      </c>
      <c r="Q29" s="134">
        <f t="shared" si="14"/>
        <v>7584</v>
      </c>
      <c r="R29" s="134">
        <f t="shared" si="14"/>
        <v>7511</v>
      </c>
      <c r="S29" s="134">
        <f t="shared" si="14"/>
        <v>11055</v>
      </c>
      <c r="T29" s="134">
        <f t="shared" si="14"/>
        <v>8822</v>
      </c>
      <c r="U29" s="132">
        <f t="shared" si="14"/>
        <v>53297</v>
      </c>
      <c r="V29" s="134">
        <f t="shared" si="14"/>
        <v>9087</v>
      </c>
      <c r="W29" s="134">
        <f t="shared" si="14"/>
        <v>6025</v>
      </c>
      <c r="X29" s="134">
        <f t="shared" si="14"/>
        <v>10462</v>
      </c>
      <c r="Y29" s="134">
        <f t="shared" si="14"/>
        <v>4033</v>
      </c>
      <c r="Z29" s="134">
        <f t="shared" si="14"/>
        <v>5910</v>
      </c>
      <c r="AA29" s="134">
        <f t="shared" si="14"/>
        <v>7875</v>
      </c>
      <c r="AB29" s="134">
        <f t="shared" si="14"/>
        <v>9905</v>
      </c>
      <c r="AC29" s="132">
        <f t="shared" si="14"/>
        <v>45908</v>
      </c>
      <c r="AD29" s="134">
        <f t="shared" si="14"/>
        <v>8019</v>
      </c>
      <c r="AE29" s="134">
        <f t="shared" si="14"/>
        <v>5509</v>
      </c>
      <c r="AF29" s="134">
        <f t="shared" si="14"/>
        <v>7030</v>
      </c>
      <c r="AG29" s="134">
        <f t="shared" si="14"/>
        <v>10097</v>
      </c>
      <c r="AH29" s="134">
        <f t="shared" si="14"/>
        <v>5504</v>
      </c>
      <c r="AI29" s="134">
        <f t="shared" si="14"/>
        <v>4849</v>
      </c>
      <c r="AJ29" s="134">
        <f t="shared" si="14"/>
        <v>4900</v>
      </c>
      <c r="AK29" s="132">
        <f t="shared" si="14"/>
        <v>19586</v>
      </c>
      <c r="AL29" s="134">
        <f t="shared" si="14"/>
        <v>10097</v>
      </c>
      <c r="AM29" s="134">
        <f t="shared" si="14"/>
        <v>5103</v>
      </c>
      <c r="AN29" s="134">
        <f t="shared" si="14"/>
        <v>4386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showGridLines="0" zoomScale="80" zoomScaleNormal="80" workbookViewId="0">
      <pane xSplit="3" ySplit="4" topLeftCell="D5" activePane="bottomRight" state="frozen"/>
      <selection pane="topRight"/>
      <selection pane="bottomLeft"/>
      <selection pane="bottomRight" activeCell="E53" sqref="E53"/>
    </sheetView>
  </sheetViews>
  <sheetFormatPr defaultColWidth="8.75" defaultRowHeight="16.5" x14ac:dyDescent="0.3"/>
  <cols>
    <col min="1" max="1" width="20.25" style="44" bestFit="1" customWidth="1"/>
    <col min="2" max="2" width="7.375" style="44" customWidth="1"/>
    <col min="3" max="3" width="20.25" style="44" bestFit="1" customWidth="1"/>
    <col min="4" max="4" width="10.375" style="44" customWidth="1"/>
    <col min="5" max="33" width="9.125" style="44" customWidth="1"/>
    <col min="34" max="34" width="8.875" style="44" bestFit="1" customWidth="1"/>
    <col min="35" max="35" width="8.875" style="44" hidden="1" customWidth="1"/>
    <col min="36" max="36" width="8.75" style="44" bestFit="1" customWidth="1"/>
    <col min="37" max="16384" width="8.75" style="44"/>
  </cols>
  <sheetData>
    <row r="1" spans="1:36" ht="34.5" customHeight="1" x14ac:dyDescent="0.3">
      <c r="B1" s="45"/>
      <c r="C1" s="45"/>
      <c r="D1" s="46" t="s">
        <v>75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36" ht="14.25" customHeight="1" x14ac:dyDescent="0.3">
      <c r="A2" s="47"/>
      <c r="B2" s="48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8"/>
      <c r="Q2" s="48"/>
    </row>
    <row r="3" spans="1:36" ht="16.5" customHeight="1" x14ac:dyDescent="0.3">
      <c r="A3" s="50" t="s">
        <v>19</v>
      </c>
      <c r="B3" s="51"/>
      <c r="C3" s="52"/>
      <c r="D3" s="53" t="s">
        <v>5</v>
      </c>
      <c r="E3" s="54">
        <v>1</v>
      </c>
      <c r="F3" s="54">
        <v>2</v>
      </c>
      <c r="G3" s="54">
        <v>3</v>
      </c>
      <c r="H3" s="54">
        <v>4</v>
      </c>
      <c r="I3" s="54">
        <v>5</v>
      </c>
      <c r="J3" s="54">
        <v>6</v>
      </c>
      <c r="K3" s="54">
        <v>7</v>
      </c>
      <c r="L3" s="54">
        <v>8</v>
      </c>
      <c r="M3" s="54">
        <v>9</v>
      </c>
      <c r="N3" s="54">
        <v>10</v>
      </c>
      <c r="O3" s="54">
        <v>11</v>
      </c>
      <c r="P3" s="54">
        <v>12</v>
      </c>
      <c r="Q3" s="54">
        <v>13</v>
      </c>
      <c r="R3" s="54">
        <v>14</v>
      </c>
      <c r="S3" s="54">
        <v>15</v>
      </c>
      <c r="T3" s="54">
        <v>16</v>
      </c>
      <c r="U3" s="54">
        <v>17</v>
      </c>
      <c r="V3" s="54">
        <v>18</v>
      </c>
      <c r="W3" s="54">
        <v>19</v>
      </c>
      <c r="X3" s="54">
        <v>20</v>
      </c>
      <c r="Y3" s="54">
        <v>21</v>
      </c>
      <c r="Z3" s="54">
        <v>22</v>
      </c>
      <c r="AA3" s="54">
        <v>23</v>
      </c>
      <c r="AB3" s="54">
        <v>24</v>
      </c>
      <c r="AC3" s="54">
        <v>25</v>
      </c>
      <c r="AD3" s="54">
        <v>26</v>
      </c>
      <c r="AE3" s="54">
        <v>27</v>
      </c>
      <c r="AF3" s="54">
        <v>28</v>
      </c>
      <c r="AG3" s="54">
        <v>29</v>
      </c>
      <c r="AH3" s="54">
        <v>30</v>
      </c>
      <c r="AI3" s="54">
        <v>31</v>
      </c>
      <c r="AJ3" s="54">
        <v>31</v>
      </c>
    </row>
    <row r="4" spans="1:36" ht="16.5" customHeight="1" x14ac:dyDescent="0.3">
      <c r="A4" s="50" t="s">
        <v>18</v>
      </c>
      <c r="B4" s="51"/>
      <c r="C4" s="52"/>
      <c r="D4" s="55"/>
      <c r="E4" s="56" t="s">
        <v>76</v>
      </c>
      <c r="F4" s="56" t="s">
        <v>56</v>
      </c>
      <c r="G4" s="56" t="s">
        <v>57</v>
      </c>
      <c r="H4" s="56" t="s">
        <v>58</v>
      </c>
      <c r="I4" s="56" t="s">
        <v>59</v>
      </c>
      <c r="J4" s="56" t="s">
        <v>60</v>
      </c>
      <c r="K4" s="56" t="s">
        <v>54</v>
      </c>
      <c r="L4" s="56" t="s">
        <v>55</v>
      </c>
      <c r="M4" s="56" t="s">
        <v>56</v>
      </c>
      <c r="N4" s="56" t="s">
        <v>57</v>
      </c>
      <c r="O4" s="56" t="s">
        <v>58</v>
      </c>
      <c r="P4" s="56" t="s">
        <v>59</v>
      </c>
      <c r="Q4" s="56" t="s">
        <v>60</v>
      </c>
      <c r="R4" s="56" t="s">
        <v>54</v>
      </c>
      <c r="S4" s="56" t="s">
        <v>55</v>
      </c>
      <c r="T4" s="56" t="s">
        <v>56</v>
      </c>
      <c r="U4" s="56" t="s">
        <v>57</v>
      </c>
      <c r="V4" s="56" t="s">
        <v>58</v>
      </c>
      <c r="W4" s="56" t="s">
        <v>59</v>
      </c>
      <c r="X4" s="56" t="s">
        <v>60</v>
      </c>
      <c r="Y4" s="56" t="s">
        <v>54</v>
      </c>
      <c r="Z4" s="56" t="s">
        <v>55</v>
      </c>
      <c r="AA4" s="56" t="s">
        <v>56</v>
      </c>
      <c r="AB4" s="56" t="s">
        <v>57</v>
      </c>
      <c r="AC4" s="56" t="s">
        <v>58</v>
      </c>
      <c r="AD4" s="56" t="s">
        <v>59</v>
      </c>
      <c r="AE4" s="56" t="s">
        <v>60</v>
      </c>
      <c r="AF4" s="56" t="s">
        <v>54</v>
      </c>
      <c r="AG4" s="56"/>
      <c r="AH4" s="56"/>
      <c r="AI4" s="56"/>
      <c r="AJ4" s="56"/>
    </row>
    <row r="5" spans="1:36" ht="26.25" customHeight="1" x14ac:dyDescent="0.3">
      <c r="A5" s="57" t="s">
        <v>31</v>
      </c>
      <c r="B5" s="58" t="s">
        <v>30</v>
      </c>
      <c r="C5" s="59"/>
      <c r="D5" s="60"/>
      <c r="E5" s="61" t="s">
        <v>77</v>
      </c>
      <c r="F5" s="61" t="s">
        <v>78</v>
      </c>
      <c r="G5" s="61" t="s">
        <v>79</v>
      </c>
      <c r="H5" s="61" t="s">
        <v>80</v>
      </c>
      <c r="I5" s="61" t="s">
        <v>81</v>
      </c>
      <c r="J5" s="61" t="s">
        <v>82</v>
      </c>
      <c r="K5" s="61" t="s">
        <v>83</v>
      </c>
      <c r="L5" s="61" t="s">
        <v>80</v>
      </c>
      <c r="M5" s="61" t="s">
        <v>80</v>
      </c>
      <c r="N5" s="61" t="s">
        <v>80</v>
      </c>
      <c r="O5" s="61" t="s">
        <v>80</v>
      </c>
      <c r="P5" s="61" t="s">
        <v>80</v>
      </c>
      <c r="Q5" s="61" t="s">
        <v>80</v>
      </c>
      <c r="R5" s="61" t="s">
        <v>80</v>
      </c>
      <c r="S5" s="61" t="s">
        <v>84</v>
      </c>
      <c r="T5" s="61" t="s">
        <v>85</v>
      </c>
      <c r="U5" s="61" t="s">
        <v>80</v>
      </c>
      <c r="V5" s="61" t="s">
        <v>80</v>
      </c>
      <c r="W5" s="61" t="s">
        <v>80</v>
      </c>
      <c r="X5" s="61" t="s">
        <v>80</v>
      </c>
      <c r="Y5" s="61" t="s">
        <v>83</v>
      </c>
      <c r="Z5" s="61" t="s">
        <v>77</v>
      </c>
      <c r="AA5" s="61" t="s">
        <v>80</v>
      </c>
      <c r="AB5" s="61" t="s">
        <v>80</v>
      </c>
      <c r="AC5" s="61" t="s">
        <v>77</v>
      </c>
      <c r="AD5" s="61" t="s">
        <v>80</v>
      </c>
      <c r="AE5" s="61" t="s">
        <v>80</v>
      </c>
      <c r="AF5" s="61" t="s">
        <v>77</v>
      </c>
      <c r="AG5" s="61"/>
      <c r="AH5" s="61"/>
      <c r="AI5" s="62"/>
      <c r="AJ5" s="61"/>
    </row>
    <row r="6" spans="1:36" ht="16.5" customHeight="1" x14ac:dyDescent="0.3">
      <c r="A6" s="63"/>
      <c r="B6" s="64" t="s">
        <v>21</v>
      </c>
      <c r="C6" s="65"/>
      <c r="D6" s="66">
        <f t="shared" ref="D6:D23" si="0">SUM(E6:AH6)</f>
        <v>840</v>
      </c>
      <c r="E6" s="67">
        <v>120</v>
      </c>
      <c r="F6" s="67">
        <v>0</v>
      </c>
      <c r="G6" s="67">
        <v>0</v>
      </c>
      <c r="H6" s="67">
        <v>0</v>
      </c>
      <c r="I6" s="67">
        <v>120</v>
      </c>
      <c r="J6" s="67">
        <v>0</v>
      </c>
      <c r="K6" s="67">
        <v>0</v>
      </c>
      <c r="L6" s="67">
        <v>0</v>
      </c>
      <c r="M6" s="67">
        <v>120</v>
      </c>
      <c r="N6" s="67">
        <v>0</v>
      </c>
      <c r="O6" s="68">
        <v>0</v>
      </c>
      <c r="P6" s="67">
        <v>0</v>
      </c>
      <c r="Q6" s="67">
        <v>120</v>
      </c>
      <c r="R6" s="69">
        <v>0</v>
      </c>
      <c r="S6" s="69">
        <v>0</v>
      </c>
      <c r="T6" s="69">
        <v>0</v>
      </c>
      <c r="U6" s="69">
        <v>120</v>
      </c>
      <c r="V6" s="69">
        <v>0</v>
      </c>
      <c r="W6" s="69">
        <v>0</v>
      </c>
      <c r="X6" s="69">
        <v>0</v>
      </c>
      <c r="Y6" s="69">
        <v>120</v>
      </c>
      <c r="Z6" s="69">
        <v>0</v>
      </c>
      <c r="AA6" s="69">
        <v>0</v>
      </c>
      <c r="AB6" s="69">
        <v>0</v>
      </c>
      <c r="AC6" s="69">
        <v>120</v>
      </c>
      <c r="AD6" s="69">
        <v>0</v>
      </c>
      <c r="AE6" s="69">
        <v>0</v>
      </c>
      <c r="AF6" s="69">
        <v>0</v>
      </c>
      <c r="AG6" s="70"/>
      <c r="AH6" s="71"/>
      <c r="AI6" s="70"/>
      <c r="AJ6" s="71"/>
    </row>
    <row r="7" spans="1:36" ht="16.5" customHeight="1" x14ac:dyDescent="0.3">
      <c r="A7" s="63"/>
      <c r="B7" s="64" t="s">
        <v>22</v>
      </c>
      <c r="C7" s="65"/>
      <c r="D7" s="72">
        <f>SUM(E7:AH7)-D20</f>
        <v>32099</v>
      </c>
      <c r="E7" s="67">
        <v>1300</v>
      </c>
      <c r="F7" s="67">
        <v>640</v>
      </c>
      <c r="G7" s="67">
        <v>873</v>
      </c>
      <c r="H7" s="67">
        <v>500</v>
      </c>
      <c r="I7" s="67">
        <v>1000</v>
      </c>
      <c r="J7" s="67">
        <v>1850</v>
      </c>
      <c r="K7" s="67">
        <v>1373</v>
      </c>
      <c r="L7" s="67">
        <v>450</v>
      </c>
      <c r="M7" s="67">
        <v>1100</v>
      </c>
      <c r="N7" s="67">
        <v>1250</v>
      </c>
      <c r="O7" s="67">
        <v>1373</v>
      </c>
      <c r="P7" s="67">
        <v>950</v>
      </c>
      <c r="Q7" s="67">
        <v>2000</v>
      </c>
      <c r="R7" s="69">
        <v>640</v>
      </c>
      <c r="S7" s="69">
        <v>873</v>
      </c>
      <c r="T7" s="69">
        <v>650</v>
      </c>
      <c r="U7" s="69">
        <v>1100</v>
      </c>
      <c r="V7" s="69">
        <v>640</v>
      </c>
      <c r="W7" s="69">
        <v>872</v>
      </c>
      <c r="X7" s="69">
        <v>850</v>
      </c>
      <c r="Y7" s="69">
        <v>2300</v>
      </c>
      <c r="Z7" s="69">
        <v>1320</v>
      </c>
      <c r="AA7" s="69">
        <v>873</v>
      </c>
      <c r="AB7" s="69">
        <v>650</v>
      </c>
      <c r="AC7" s="69">
        <v>2300</v>
      </c>
      <c r="AD7" s="69">
        <v>1446</v>
      </c>
      <c r="AE7" s="69">
        <v>1441</v>
      </c>
      <c r="AF7" s="69">
        <v>1720</v>
      </c>
      <c r="AG7" s="70"/>
      <c r="AH7" s="70"/>
      <c r="AI7" s="70"/>
      <c r="AJ7" s="70"/>
    </row>
    <row r="8" spans="1:36" ht="16.5" customHeight="1" x14ac:dyDescent="0.3">
      <c r="A8" s="63"/>
      <c r="B8" s="64" t="s">
        <v>24</v>
      </c>
      <c r="C8" s="65"/>
      <c r="D8" s="66">
        <f t="shared" si="0"/>
        <v>31451</v>
      </c>
      <c r="E8" s="67">
        <v>410</v>
      </c>
      <c r="F8" s="67">
        <v>880</v>
      </c>
      <c r="G8" s="67">
        <v>1545</v>
      </c>
      <c r="H8" s="67">
        <v>846</v>
      </c>
      <c r="I8" s="67">
        <v>410</v>
      </c>
      <c r="J8" s="67">
        <v>1380</v>
      </c>
      <c r="K8" s="67">
        <v>1570</v>
      </c>
      <c r="L8" s="67">
        <v>626</v>
      </c>
      <c r="M8" s="67">
        <v>430</v>
      </c>
      <c r="N8" s="67">
        <v>1380</v>
      </c>
      <c r="O8" s="67">
        <v>1425</v>
      </c>
      <c r="P8" s="67">
        <v>1326</v>
      </c>
      <c r="Q8" s="67">
        <v>570</v>
      </c>
      <c r="R8" s="69">
        <v>1680</v>
      </c>
      <c r="S8" s="69">
        <v>1113</v>
      </c>
      <c r="T8" s="69">
        <v>836</v>
      </c>
      <c r="U8" s="69">
        <v>470</v>
      </c>
      <c r="V8" s="69">
        <v>1180</v>
      </c>
      <c r="W8" s="69">
        <v>1355</v>
      </c>
      <c r="X8" s="69">
        <v>2176</v>
      </c>
      <c r="Y8" s="69">
        <v>970</v>
      </c>
      <c r="Z8" s="69">
        <v>980</v>
      </c>
      <c r="AA8" s="69">
        <v>801</v>
      </c>
      <c r="AB8" s="69">
        <v>836</v>
      </c>
      <c r="AC8" s="69">
        <v>570</v>
      </c>
      <c r="AD8" s="69">
        <v>1580</v>
      </c>
      <c r="AE8" s="69">
        <v>3150</v>
      </c>
      <c r="AF8" s="69">
        <v>956</v>
      </c>
      <c r="AG8" s="70"/>
      <c r="AH8" s="70"/>
      <c r="AI8" s="70"/>
      <c r="AJ8" s="70"/>
    </row>
    <row r="9" spans="1:36" ht="16.5" customHeight="1" x14ac:dyDescent="0.3">
      <c r="A9" s="63"/>
      <c r="B9" s="64" t="s">
        <v>28</v>
      </c>
      <c r="C9" s="65"/>
      <c r="D9" s="66">
        <f t="shared" si="0"/>
        <v>33337</v>
      </c>
      <c r="E9" s="67">
        <v>820</v>
      </c>
      <c r="F9" s="67">
        <v>650</v>
      </c>
      <c r="G9" s="67">
        <v>1254</v>
      </c>
      <c r="H9" s="67">
        <v>883</v>
      </c>
      <c r="I9" s="67">
        <v>900</v>
      </c>
      <c r="J9" s="67">
        <v>1540</v>
      </c>
      <c r="K9" s="67">
        <f>580+885</f>
        <v>1465</v>
      </c>
      <c r="L9" s="67">
        <v>763</v>
      </c>
      <c r="M9" s="67">
        <v>970</v>
      </c>
      <c r="N9" s="67">
        <v>990</v>
      </c>
      <c r="O9" s="73">
        <f>885+570</f>
        <v>1455</v>
      </c>
      <c r="P9" s="67">
        <v>1933</v>
      </c>
      <c r="Q9" s="67">
        <v>1130</v>
      </c>
      <c r="R9" s="69">
        <v>1110</v>
      </c>
      <c r="S9" s="69">
        <f>494+515</f>
        <v>1009</v>
      </c>
      <c r="T9" s="69">
        <v>1253</v>
      </c>
      <c r="U9" s="69">
        <v>880</v>
      </c>
      <c r="V9" s="69">
        <v>920</v>
      </c>
      <c r="W9" s="69">
        <f>680+535</f>
        <v>1215</v>
      </c>
      <c r="X9" s="69">
        <f>793+900</f>
        <v>1693</v>
      </c>
      <c r="Y9" s="69">
        <v>1580</v>
      </c>
      <c r="Z9" s="69">
        <v>956</v>
      </c>
      <c r="AA9" s="69">
        <v>922</v>
      </c>
      <c r="AB9" s="69">
        <v>1453</v>
      </c>
      <c r="AC9" s="69">
        <f>670+480</f>
        <v>1150</v>
      </c>
      <c r="AD9" s="69">
        <f>693+510</f>
        <v>1203</v>
      </c>
      <c r="AE9" s="69">
        <v>1795</v>
      </c>
      <c r="AF9" s="69">
        <f>615+830</f>
        <v>1445</v>
      </c>
      <c r="AG9" s="70"/>
      <c r="AH9" s="70"/>
      <c r="AI9" s="70"/>
      <c r="AJ9" s="70"/>
    </row>
    <row r="10" spans="1:36" ht="16.5" customHeight="1" x14ac:dyDescent="0.3">
      <c r="A10" s="63"/>
      <c r="B10" s="58" t="s">
        <v>17</v>
      </c>
      <c r="C10" s="59"/>
      <c r="D10" s="66">
        <f t="shared" si="0"/>
        <v>0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74"/>
      <c r="AH10" s="74"/>
      <c r="AI10" s="74"/>
      <c r="AJ10" s="74"/>
    </row>
    <row r="11" spans="1:36" ht="16.5" customHeight="1" x14ac:dyDescent="0.3">
      <c r="A11" s="63"/>
      <c r="B11" s="58" t="s">
        <v>38</v>
      </c>
      <c r="C11" s="59"/>
      <c r="D11" s="66">
        <f t="shared" si="0"/>
        <v>0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74"/>
      <c r="AH11" s="74"/>
      <c r="AI11" s="74"/>
      <c r="AJ11" s="74"/>
    </row>
    <row r="12" spans="1:36" ht="16.5" customHeight="1" x14ac:dyDescent="0.3">
      <c r="A12" s="63"/>
      <c r="B12" s="64" t="s">
        <v>44</v>
      </c>
      <c r="C12" s="65"/>
      <c r="D12" s="66">
        <f t="shared" si="0"/>
        <v>0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74"/>
      <c r="AH12" s="74"/>
      <c r="AI12" s="74"/>
      <c r="AJ12" s="74"/>
    </row>
    <row r="13" spans="1:36" ht="16.5" customHeight="1" x14ac:dyDescent="0.3">
      <c r="A13" s="63"/>
      <c r="B13" s="58" t="s">
        <v>46</v>
      </c>
      <c r="C13" s="59"/>
      <c r="D13" s="66">
        <f t="shared" si="0"/>
        <v>0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74"/>
      <c r="AH13" s="74"/>
      <c r="AI13" s="74"/>
      <c r="AJ13" s="74"/>
    </row>
    <row r="14" spans="1:36" ht="16.5" customHeight="1" x14ac:dyDescent="0.3">
      <c r="A14" s="63"/>
      <c r="B14" s="58" t="s">
        <v>3</v>
      </c>
      <c r="C14" s="59"/>
      <c r="D14" s="66">
        <f t="shared" si="0"/>
        <v>0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74"/>
      <c r="AH14" s="74"/>
      <c r="AI14" s="74"/>
      <c r="AJ14" s="74"/>
    </row>
    <row r="15" spans="1:36" ht="16.5" customHeight="1" x14ac:dyDescent="0.3">
      <c r="A15" s="63"/>
      <c r="B15" s="58" t="s">
        <v>7</v>
      </c>
      <c r="C15" s="59"/>
      <c r="D15" s="66">
        <f t="shared" si="0"/>
        <v>0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74"/>
      <c r="AH15" s="74"/>
      <c r="AI15" s="74"/>
      <c r="AJ15" s="74"/>
    </row>
    <row r="16" spans="1:36" ht="16.5" customHeight="1" x14ac:dyDescent="0.3">
      <c r="A16" s="63"/>
      <c r="B16" s="58" t="s">
        <v>13</v>
      </c>
      <c r="C16" s="59"/>
      <c r="D16" s="66">
        <f t="shared" si="0"/>
        <v>0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74"/>
      <c r="AH16" s="74"/>
      <c r="AI16" s="74"/>
      <c r="AJ16" s="74"/>
    </row>
    <row r="17" spans="1:36" ht="16.5" customHeight="1" x14ac:dyDescent="0.3">
      <c r="A17" s="63"/>
      <c r="B17" s="58" t="s">
        <v>26</v>
      </c>
      <c r="C17" s="59"/>
      <c r="D17" s="66">
        <f t="shared" si="0"/>
        <v>0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74"/>
      <c r="AH17" s="74"/>
      <c r="AI17" s="74"/>
      <c r="AJ17" s="74"/>
    </row>
    <row r="18" spans="1:36" ht="16.5" customHeight="1" x14ac:dyDescent="0.3">
      <c r="A18" s="63"/>
      <c r="B18" s="64" t="s">
        <v>1</v>
      </c>
      <c r="C18" s="65"/>
      <c r="D18" s="66">
        <f t="shared" si="0"/>
        <v>46541</v>
      </c>
      <c r="E18" s="67">
        <v>990</v>
      </c>
      <c r="F18" s="67">
        <v>850</v>
      </c>
      <c r="G18" s="67">
        <f>1160+910</f>
        <v>2070</v>
      </c>
      <c r="H18" s="67">
        <f>725+850</f>
        <v>1575</v>
      </c>
      <c r="I18" s="67">
        <v>910</v>
      </c>
      <c r="J18" s="67">
        <v>2370</v>
      </c>
      <c r="K18" s="67">
        <v>2060</v>
      </c>
      <c r="L18" s="67">
        <v>1385</v>
      </c>
      <c r="M18" s="67">
        <v>1000</v>
      </c>
      <c r="N18" s="67">
        <v>1730</v>
      </c>
      <c r="O18" s="67">
        <f>1190+880</f>
        <v>2070</v>
      </c>
      <c r="P18" s="67">
        <v>2235</v>
      </c>
      <c r="Q18" s="67">
        <v>1890</v>
      </c>
      <c r="R18" s="69">
        <v>1660</v>
      </c>
      <c r="S18" s="69">
        <v>1550</v>
      </c>
      <c r="T18" s="69">
        <v>1275</v>
      </c>
      <c r="U18" s="69">
        <f>460+590</f>
        <v>1050</v>
      </c>
      <c r="V18" s="69">
        <f>740+520</f>
        <v>1260</v>
      </c>
      <c r="W18" s="69">
        <f>880+760</f>
        <v>1640</v>
      </c>
      <c r="X18" s="69">
        <v>2335</v>
      </c>
      <c r="Y18" s="69">
        <v>2890</v>
      </c>
      <c r="Z18" s="69">
        <f>874+520</f>
        <v>1394</v>
      </c>
      <c r="AA18" s="69">
        <v>1332</v>
      </c>
      <c r="AB18" s="69">
        <v>1075</v>
      </c>
      <c r="AC18" s="69">
        <v>2280</v>
      </c>
      <c r="AD18" s="69">
        <v>1830</v>
      </c>
      <c r="AE18" s="69">
        <f>1680+760</f>
        <v>2440</v>
      </c>
      <c r="AF18" s="69">
        <v>1395</v>
      </c>
      <c r="AG18" s="70"/>
      <c r="AH18" s="70"/>
      <c r="AI18" s="70"/>
      <c r="AJ18" s="70"/>
    </row>
    <row r="19" spans="1:36" ht="16.5" customHeight="1" x14ac:dyDescent="0.3">
      <c r="A19" s="63"/>
      <c r="B19" s="58" t="s">
        <v>2</v>
      </c>
      <c r="C19" s="59"/>
      <c r="D19" s="66">
        <f t="shared" si="0"/>
        <v>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0"/>
      <c r="AH19" s="70"/>
      <c r="AI19" s="70"/>
      <c r="AJ19" s="70"/>
    </row>
    <row r="20" spans="1:36" ht="16.5" customHeight="1" x14ac:dyDescent="0.3">
      <c r="A20" s="63"/>
      <c r="B20" s="75" t="s">
        <v>86</v>
      </c>
      <c r="C20" s="76"/>
      <c r="D20" s="72">
        <v>235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0"/>
      <c r="AH20" s="70"/>
      <c r="AI20" s="70"/>
      <c r="AJ20" s="70"/>
    </row>
    <row r="21" spans="1:36" ht="16.5" customHeight="1" x14ac:dyDescent="0.3">
      <c r="A21" s="63"/>
      <c r="B21" s="64" t="s">
        <v>15</v>
      </c>
      <c r="C21" s="65"/>
      <c r="D21" s="66">
        <f t="shared" si="0"/>
        <v>14498</v>
      </c>
      <c r="E21" s="67">
        <v>490</v>
      </c>
      <c r="F21" s="67">
        <v>179</v>
      </c>
      <c r="G21" s="67">
        <v>264</v>
      </c>
      <c r="H21" s="67">
        <v>470</v>
      </c>
      <c r="I21" s="67">
        <v>400</v>
      </c>
      <c r="J21" s="67">
        <v>210</v>
      </c>
      <c r="K21" s="67">
        <v>399</v>
      </c>
      <c r="L21" s="67">
        <v>470</v>
      </c>
      <c r="M21" s="67">
        <v>480</v>
      </c>
      <c r="N21" s="67">
        <v>239</v>
      </c>
      <c r="O21" s="67">
        <f>165+234</f>
        <v>399</v>
      </c>
      <c r="P21" s="67">
        <v>1160</v>
      </c>
      <c r="Q21" s="67">
        <v>990</v>
      </c>
      <c r="R21" s="69">
        <v>429</v>
      </c>
      <c r="S21" s="69">
        <v>297</v>
      </c>
      <c r="T21" s="69">
        <v>770</v>
      </c>
      <c r="U21" s="69">
        <v>720</v>
      </c>
      <c r="V21" s="69">
        <v>249</v>
      </c>
      <c r="W21" s="69">
        <f>174+165</f>
        <v>339</v>
      </c>
      <c r="X21" s="69">
        <v>1015</v>
      </c>
      <c r="Y21" s="69">
        <v>1300</v>
      </c>
      <c r="Z21" s="69">
        <v>215</v>
      </c>
      <c r="AA21" s="69">
        <v>259</v>
      </c>
      <c r="AB21" s="69">
        <v>770</v>
      </c>
      <c r="AC21" s="69">
        <v>960</v>
      </c>
      <c r="AD21" s="69">
        <v>338</v>
      </c>
      <c r="AE21" s="69">
        <v>339</v>
      </c>
      <c r="AF21" s="69">
        <v>348</v>
      </c>
      <c r="AG21" s="70"/>
      <c r="AH21" s="70"/>
      <c r="AI21" s="70"/>
      <c r="AJ21" s="70"/>
    </row>
    <row r="22" spans="1:36" ht="16.5" customHeight="1" x14ac:dyDescent="0.3">
      <c r="A22" s="63"/>
      <c r="B22" s="64" t="s">
        <v>9</v>
      </c>
      <c r="C22" s="65"/>
      <c r="D22" s="66">
        <f t="shared" si="0"/>
        <v>10537</v>
      </c>
      <c r="E22" s="67">
        <v>250</v>
      </c>
      <c r="F22" s="67">
        <v>85</v>
      </c>
      <c r="G22" s="67">
        <v>200</v>
      </c>
      <c r="H22" s="67">
        <v>520</v>
      </c>
      <c r="I22" s="67">
        <v>240</v>
      </c>
      <c r="J22" s="67">
        <v>114</v>
      </c>
      <c r="K22" s="67">
        <v>280</v>
      </c>
      <c r="L22" s="67">
        <v>520</v>
      </c>
      <c r="M22" s="67">
        <v>230</v>
      </c>
      <c r="N22" s="67">
        <v>112</v>
      </c>
      <c r="O22" s="67">
        <v>280</v>
      </c>
      <c r="P22" s="67">
        <v>1020</v>
      </c>
      <c r="Q22" s="67">
        <v>570</v>
      </c>
      <c r="R22" s="69">
        <v>145</v>
      </c>
      <c r="S22" s="69">
        <v>285</v>
      </c>
      <c r="T22" s="69">
        <v>720</v>
      </c>
      <c r="U22" s="69">
        <v>500</v>
      </c>
      <c r="V22" s="69">
        <v>95</v>
      </c>
      <c r="W22" s="69">
        <v>280</v>
      </c>
      <c r="X22" s="69">
        <v>920</v>
      </c>
      <c r="Y22" s="69">
        <v>880</v>
      </c>
      <c r="Z22" s="69">
        <v>88</v>
      </c>
      <c r="AA22" s="69">
        <v>242</v>
      </c>
      <c r="AB22" s="69">
        <v>720</v>
      </c>
      <c r="AC22" s="69">
        <v>650</v>
      </c>
      <c r="AD22" s="69">
        <v>114</v>
      </c>
      <c r="AE22" s="69">
        <v>280</v>
      </c>
      <c r="AF22" s="69">
        <v>197</v>
      </c>
      <c r="AG22" s="70"/>
      <c r="AH22" s="70"/>
      <c r="AI22" s="70"/>
      <c r="AJ22" s="70"/>
    </row>
    <row r="23" spans="1:36" ht="16.5" customHeight="1" x14ac:dyDescent="0.3">
      <c r="A23" s="77"/>
      <c r="B23" s="64" t="s">
        <v>35</v>
      </c>
      <c r="C23" s="65"/>
      <c r="D23" s="66">
        <f t="shared" si="0"/>
        <v>0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70"/>
      <c r="AH23" s="70"/>
      <c r="AI23" s="70"/>
      <c r="AJ23" s="70"/>
    </row>
    <row r="24" spans="1:36" ht="16.5" customHeight="1" x14ac:dyDescent="0.3">
      <c r="A24" s="50" t="s">
        <v>4</v>
      </c>
      <c r="B24" s="51"/>
      <c r="C24" s="52"/>
      <c r="D24" s="66">
        <f>SUM(D6:D23)</f>
        <v>169538</v>
      </c>
      <c r="E24" s="66">
        <f t="shared" ref="E24:AJ24" si="1">SUM(E6:E23)</f>
        <v>4380</v>
      </c>
      <c r="F24" s="66">
        <f t="shared" si="1"/>
        <v>3284</v>
      </c>
      <c r="G24" s="66">
        <f t="shared" si="1"/>
        <v>6206</v>
      </c>
      <c r="H24" s="66">
        <f t="shared" si="1"/>
        <v>4794</v>
      </c>
      <c r="I24" s="66">
        <f t="shared" si="1"/>
        <v>3980</v>
      </c>
      <c r="J24" s="66">
        <f t="shared" si="1"/>
        <v>7464</v>
      </c>
      <c r="K24" s="66">
        <f t="shared" si="1"/>
        <v>7147</v>
      </c>
      <c r="L24" s="66">
        <f t="shared" si="1"/>
        <v>4214</v>
      </c>
      <c r="M24" s="66">
        <f t="shared" si="1"/>
        <v>4330</v>
      </c>
      <c r="N24" s="66">
        <f t="shared" si="1"/>
        <v>5701</v>
      </c>
      <c r="O24" s="66">
        <f t="shared" si="1"/>
        <v>7002</v>
      </c>
      <c r="P24" s="66">
        <f t="shared" si="1"/>
        <v>8624</v>
      </c>
      <c r="Q24" s="66">
        <f t="shared" si="1"/>
        <v>7270</v>
      </c>
      <c r="R24" s="66">
        <f t="shared" si="1"/>
        <v>5664</v>
      </c>
      <c r="S24" s="66">
        <f t="shared" si="1"/>
        <v>5127</v>
      </c>
      <c r="T24" s="66">
        <f t="shared" si="1"/>
        <v>5504</v>
      </c>
      <c r="U24" s="66">
        <f t="shared" si="1"/>
        <v>4840</v>
      </c>
      <c r="V24" s="66">
        <f t="shared" si="1"/>
        <v>4344</v>
      </c>
      <c r="W24" s="66">
        <f t="shared" si="1"/>
        <v>5701</v>
      </c>
      <c r="X24" s="66">
        <f t="shared" si="1"/>
        <v>8989</v>
      </c>
      <c r="Y24" s="66">
        <f t="shared" si="1"/>
        <v>10040</v>
      </c>
      <c r="Z24" s="66">
        <f t="shared" si="1"/>
        <v>4953</v>
      </c>
      <c r="AA24" s="66">
        <f t="shared" si="1"/>
        <v>4429</v>
      </c>
      <c r="AB24" s="66">
        <f t="shared" si="1"/>
        <v>5504</v>
      </c>
      <c r="AC24" s="66">
        <f t="shared" si="1"/>
        <v>8030</v>
      </c>
      <c r="AD24" s="66">
        <f t="shared" si="1"/>
        <v>6511</v>
      </c>
      <c r="AE24" s="66">
        <f t="shared" si="1"/>
        <v>9445</v>
      </c>
      <c r="AF24" s="66">
        <f t="shared" si="1"/>
        <v>6061</v>
      </c>
      <c r="AG24" s="78">
        <f t="shared" si="1"/>
        <v>0</v>
      </c>
      <c r="AH24" s="78">
        <f t="shared" si="1"/>
        <v>0</v>
      </c>
      <c r="AI24" s="78">
        <f t="shared" si="1"/>
        <v>0</v>
      </c>
      <c r="AJ24" s="78">
        <f t="shared" si="1"/>
        <v>0</v>
      </c>
    </row>
    <row r="25" spans="1:36" ht="16.5" hidden="1" customHeight="1" x14ac:dyDescent="0.3">
      <c r="A25" s="57" t="s">
        <v>23</v>
      </c>
      <c r="B25" s="57" t="s">
        <v>0</v>
      </c>
      <c r="C25" s="56" t="s">
        <v>50</v>
      </c>
      <c r="D25" s="66">
        <f t="shared" ref="D25:D46" si="2">SUM(E25:AF25)</f>
        <v>0</v>
      </c>
      <c r="E25" s="67"/>
      <c r="F25" s="67"/>
      <c r="G25" s="79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70"/>
      <c r="AH25" s="70"/>
      <c r="AI25" s="70"/>
      <c r="AJ25" s="70"/>
    </row>
    <row r="26" spans="1:36" ht="16.5" hidden="1" customHeight="1" x14ac:dyDescent="0.3">
      <c r="A26" s="63"/>
      <c r="B26" s="63"/>
      <c r="C26" s="56" t="s">
        <v>25</v>
      </c>
      <c r="D26" s="66">
        <f t="shared" si="2"/>
        <v>0</v>
      </c>
      <c r="E26" s="67"/>
      <c r="F26" s="67"/>
      <c r="G26" s="79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70"/>
      <c r="AH26" s="70"/>
      <c r="AI26" s="70"/>
      <c r="AJ26" s="70"/>
    </row>
    <row r="27" spans="1:36" ht="16.5" hidden="1" customHeight="1" x14ac:dyDescent="0.3">
      <c r="A27" s="63"/>
      <c r="B27" s="63"/>
      <c r="C27" s="56" t="s">
        <v>34</v>
      </c>
      <c r="D27" s="66">
        <f t="shared" si="2"/>
        <v>0</v>
      </c>
      <c r="E27" s="67"/>
      <c r="F27" s="67"/>
      <c r="G27" s="79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70"/>
      <c r="AH27" s="70"/>
      <c r="AI27" s="70"/>
      <c r="AJ27" s="70"/>
    </row>
    <row r="28" spans="1:36" ht="16.5" hidden="1" customHeight="1" x14ac:dyDescent="0.3">
      <c r="A28" s="63"/>
      <c r="B28" s="63"/>
      <c r="C28" s="56" t="s">
        <v>47</v>
      </c>
      <c r="D28" s="66">
        <f t="shared" si="2"/>
        <v>0</v>
      </c>
      <c r="E28" s="67"/>
      <c r="F28" s="67"/>
      <c r="G28" s="79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0"/>
      <c r="AH28" s="70"/>
      <c r="AI28" s="70"/>
      <c r="AJ28" s="70"/>
    </row>
    <row r="29" spans="1:36" ht="16.5" hidden="1" customHeight="1" x14ac:dyDescent="0.3">
      <c r="A29" s="63"/>
      <c r="B29" s="63"/>
      <c r="C29" s="56" t="s">
        <v>40</v>
      </c>
      <c r="D29" s="66">
        <f t="shared" si="2"/>
        <v>0</v>
      </c>
      <c r="E29" s="67"/>
      <c r="F29" s="67"/>
      <c r="G29" s="79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0"/>
      <c r="AH29" s="70"/>
      <c r="AI29" s="70"/>
      <c r="AJ29" s="70"/>
    </row>
    <row r="30" spans="1:36" ht="16.5" hidden="1" customHeight="1" x14ac:dyDescent="0.3">
      <c r="A30" s="63"/>
      <c r="B30" s="63"/>
      <c r="C30" s="56" t="s">
        <v>27</v>
      </c>
      <c r="D30" s="66">
        <f t="shared" si="2"/>
        <v>0</v>
      </c>
      <c r="E30" s="67"/>
      <c r="F30" s="67"/>
      <c r="G30" s="79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70"/>
      <c r="AH30" s="70"/>
      <c r="AI30" s="70"/>
      <c r="AJ30" s="70"/>
    </row>
    <row r="31" spans="1:36" ht="16.5" hidden="1" customHeight="1" x14ac:dyDescent="0.3">
      <c r="A31" s="63"/>
      <c r="B31" s="63"/>
      <c r="C31" s="56" t="s">
        <v>39</v>
      </c>
      <c r="D31" s="66">
        <f t="shared" si="2"/>
        <v>0</v>
      </c>
      <c r="E31" s="67"/>
      <c r="F31" s="67"/>
      <c r="G31" s="79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70"/>
      <c r="AH31" s="70"/>
      <c r="AI31" s="70"/>
      <c r="AJ31" s="70"/>
    </row>
    <row r="32" spans="1:36" ht="16.5" hidden="1" customHeight="1" x14ac:dyDescent="0.3">
      <c r="A32" s="63"/>
      <c r="B32" s="63"/>
      <c r="C32" s="56" t="s">
        <v>37</v>
      </c>
      <c r="D32" s="66">
        <f t="shared" si="2"/>
        <v>0</v>
      </c>
      <c r="E32" s="67"/>
      <c r="F32" s="67"/>
      <c r="G32" s="79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70"/>
      <c r="AH32" s="70"/>
      <c r="AI32" s="70"/>
      <c r="AJ32" s="70"/>
    </row>
    <row r="33" spans="1:36" ht="16.5" hidden="1" customHeight="1" x14ac:dyDescent="0.3">
      <c r="A33" s="63"/>
      <c r="B33" s="63"/>
      <c r="C33" s="56" t="s">
        <v>11</v>
      </c>
      <c r="D33" s="66">
        <f t="shared" si="2"/>
        <v>0</v>
      </c>
      <c r="E33" s="67"/>
      <c r="F33" s="67"/>
      <c r="G33" s="79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70"/>
      <c r="AH33" s="70"/>
      <c r="AI33" s="70"/>
      <c r="AJ33" s="70"/>
    </row>
    <row r="34" spans="1:36" ht="16.5" hidden="1" customHeight="1" x14ac:dyDescent="0.3">
      <c r="A34" s="63"/>
      <c r="B34" s="63"/>
      <c r="C34" s="56" t="s">
        <v>43</v>
      </c>
      <c r="D34" s="66">
        <f t="shared" si="2"/>
        <v>0</v>
      </c>
      <c r="E34" s="67"/>
      <c r="F34" s="67"/>
      <c r="G34" s="79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70"/>
      <c r="AH34" s="70"/>
      <c r="AI34" s="70"/>
      <c r="AJ34" s="70"/>
    </row>
    <row r="35" spans="1:36" ht="16.5" hidden="1" customHeight="1" x14ac:dyDescent="0.3">
      <c r="A35" s="63"/>
      <c r="B35" s="77"/>
      <c r="C35" s="56" t="s">
        <v>20</v>
      </c>
      <c r="D35" s="66">
        <f t="shared" si="2"/>
        <v>0</v>
      </c>
      <c r="E35" s="67"/>
      <c r="F35" s="67"/>
      <c r="G35" s="79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H35" s="70"/>
      <c r="AI35" s="70"/>
      <c r="AJ35" s="70"/>
    </row>
    <row r="36" spans="1:36" ht="16.5" hidden="1" customHeight="1" x14ac:dyDescent="0.3">
      <c r="A36" s="63"/>
      <c r="B36" s="57" t="s">
        <v>12</v>
      </c>
      <c r="C36" s="56" t="s">
        <v>49</v>
      </c>
      <c r="D36" s="66">
        <f t="shared" si="2"/>
        <v>0</v>
      </c>
      <c r="E36" s="67"/>
      <c r="F36" s="67"/>
      <c r="G36" s="79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H36" s="70"/>
      <c r="AI36" s="70"/>
      <c r="AJ36" s="70"/>
    </row>
    <row r="37" spans="1:36" ht="16.5" hidden="1" customHeight="1" x14ac:dyDescent="0.3">
      <c r="A37" s="63"/>
      <c r="B37" s="63"/>
      <c r="C37" s="56" t="s">
        <v>36</v>
      </c>
      <c r="D37" s="66">
        <f t="shared" si="2"/>
        <v>0</v>
      </c>
      <c r="E37" s="67"/>
      <c r="F37" s="67"/>
      <c r="G37" s="79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70"/>
      <c r="AH37" s="70"/>
      <c r="AI37" s="70"/>
      <c r="AJ37" s="70"/>
    </row>
    <row r="38" spans="1:36" ht="16.5" hidden="1" customHeight="1" x14ac:dyDescent="0.3">
      <c r="A38" s="63"/>
      <c r="B38" s="63"/>
      <c r="C38" s="56" t="s">
        <v>16</v>
      </c>
      <c r="D38" s="66">
        <f t="shared" si="2"/>
        <v>0</v>
      </c>
      <c r="E38" s="67"/>
      <c r="F38" s="67"/>
      <c r="G38" s="79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70"/>
      <c r="AH38" s="70"/>
      <c r="AI38" s="70"/>
      <c r="AJ38" s="70"/>
    </row>
    <row r="39" spans="1:36" ht="16.5" hidden="1" customHeight="1" x14ac:dyDescent="0.3">
      <c r="A39" s="63"/>
      <c r="B39" s="63"/>
      <c r="C39" s="56" t="s">
        <v>33</v>
      </c>
      <c r="D39" s="66">
        <f t="shared" si="2"/>
        <v>0</v>
      </c>
      <c r="E39" s="67"/>
      <c r="F39" s="67"/>
      <c r="G39" s="79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70"/>
      <c r="AH39" s="70"/>
      <c r="AI39" s="70"/>
      <c r="AJ39" s="70"/>
    </row>
    <row r="40" spans="1:36" ht="16.5" hidden="1" customHeight="1" x14ac:dyDescent="0.3">
      <c r="A40" s="63"/>
      <c r="B40" s="77"/>
      <c r="C40" s="56" t="s">
        <v>10</v>
      </c>
      <c r="D40" s="66">
        <f t="shared" si="2"/>
        <v>0</v>
      </c>
      <c r="E40" s="67"/>
      <c r="F40" s="67"/>
      <c r="G40" s="79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0"/>
      <c r="AH40" s="70"/>
      <c r="AI40" s="70"/>
      <c r="AJ40" s="70"/>
    </row>
    <row r="41" spans="1:36" ht="16.5" hidden="1" customHeight="1" x14ac:dyDescent="0.3">
      <c r="A41" s="63"/>
      <c r="B41" s="57" t="s">
        <v>8</v>
      </c>
      <c r="C41" s="56" t="s">
        <v>41</v>
      </c>
      <c r="D41" s="66">
        <f t="shared" si="2"/>
        <v>0</v>
      </c>
      <c r="E41" s="67"/>
      <c r="F41" s="67"/>
      <c r="G41" s="79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70"/>
      <c r="AH41" s="70"/>
      <c r="AI41" s="70"/>
      <c r="AJ41" s="70"/>
    </row>
    <row r="42" spans="1:36" ht="16.5" hidden="1" customHeight="1" x14ac:dyDescent="0.3">
      <c r="A42" s="63"/>
      <c r="B42" s="63"/>
      <c r="C42" s="56" t="s">
        <v>48</v>
      </c>
      <c r="D42" s="66">
        <f t="shared" si="2"/>
        <v>0</v>
      </c>
      <c r="E42" s="67"/>
      <c r="F42" s="67"/>
      <c r="G42" s="79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70"/>
      <c r="AH42" s="70"/>
      <c r="AI42" s="70"/>
      <c r="AJ42" s="70"/>
    </row>
    <row r="43" spans="1:36" ht="16.5" hidden="1" customHeight="1" x14ac:dyDescent="0.3">
      <c r="A43" s="63"/>
      <c r="B43" s="63"/>
      <c r="C43" s="56" t="s">
        <v>45</v>
      </c>
      <c r="D43" s="66">
        <f t="shared" si="2"/>
        <v>0</v>
      </c>
      <c r="E43" s="67"/>
      <c r="F43" s="67"/>
      <c r="G43" s="79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70"/>
      <c r="AH43" s="70"/>
      <c r="AI43" s="70"/>
      <c r="AJ43" s="70"/>
    </row>
    <row r="44" spans="1:36" ht="16.5" hidden="1" customHeight="1" x14ac:dyDescent="0.3">
      <c r="A44" s="63"/>
      <c r="B44" s="63"/>
      <c r="C44" s="56" t="s">
        <v>51</v>
      </c>
      <c r="D44" s="66">
        <f t="shared" si="2"/>
        <v>0</v>
      </c>
      <c r="E44" s="67"/>
      <c r="F44" s="67"/>
      <c r="G44" s="79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70"/>
      <c r="AH44" s="70"/>
      <c r="AI44" s="70"/>
      <c r="AJ44" s="70"/>
    </row>
    <row r="45" spans="1:36" ht="16.5" hidden="1" customHeight="1" x14ac:dyDescent="0.3">
      <c r="A45" s="63"/>
      <c r="B45" s="63"/>
      <c r="C45" s="56" t="s">
        <v>42</v>
      </c>
      <c r="D45" s="66">
        <f t="shared" si="2"/>
        <v>0</v>
      </c>
      <c r="E45" s="67"/>
      <c r="F45" s="67"/>
      <c r="G45" s="79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70"/>
      <c r="AH45" s="70"/>
      <c r="AI45" s="70"/>
      <c r="AJ45" s="70"/>
    </row>
    <row r="46" spans="1:36" ht="16.5" hidden="1" customHeight="1" x14ac:dyDescent="0.3">
      <c r="A46" s="63"/>
      <c r="B46" s="77"/>
      <c r="C46" s="56" t="s">
        <v>29</v>
      </c>
      <c r="D46" s="66">
        <f t="shared" si="2"/>
        <v>0</v>
      </c>
      <c r="E46" s="67"/>
      <c r="F46" s="67"/>
      <c r="G46" s="79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70"/>
      <c r="AH46" s="70"/>
      <c r="AI46" s="70"/>
      <c r="AJ46" s="70"/>
    </row>
    <row r="47" spans="1:36" x14ac:dyDescent="0.3">
      <c r="A47" s="63"/>
      <c r="B47" s="57" t="s">
        <v>6</v>
      </c>
      <c r="C47" s="80" t="s">
        <v>32</v>
      </c>
      <c r="D47" s="66">
        <f>SUM(E47:AH47)</f>
        <v>0</v>
      </c>
      <c r="E47" s="67"/>
      <c r="F47" s="67"/>
      <c r="G47" s="81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74"/>
      <c r="AH47" s="74"/>
      <c r="AI47" s="74"/>
      <c r="AJ47" s="74"/>
    </row>
    <row r="48" spans="1:36" x14ac:dyDescent="0.3">
      <c r="A48" s="77"/>
      <c r="B48" s="77"/>
      <c r="C48" s="80" t="s">
        <v>14</v>
      </c>
      <c r="D48" s="66">
        <f>SUM(E48:AH48)</f>
        <v>43197</v>
      </c>
      <c r="E48" s="67">
        <v>850</v>
      </c>
      <c r="F48" s="67">
        <v>880</v>
      </c>
      <c r="G48" s="67">
        <f>658+770</f>
        <v>1428</v>
      </c>
      <c r="H48" s="67">
        <v>1108</v>
      </c>
      <c r="I48" s="67">
        <v>770</v>
      </c>
      <c r="J48" s="67">
        <v>1990</v>
      </c>
      <c r="K48" s="67">
        <v>1938</v>
      </c>
      <c r="L48" s="67">
        <v>1108</v>
      </c>
      <c r="M48" s="67">
        <v>800</v>
      </c>
      <c r="N48" s="67">
        <v>1700</v>
      </c>
      <c r="O48" s="67">
        <f>1170+768</f>
        <v>1938</v>
      </c>
      <c r="P48" s="67">
        <v>1668</v>
      </c>
      <c r="Q48" s="67">
        <v>1650</v>
      </c>
      <c r="R48" s="69">
        <v>1670</v>
      </c>
      <c r="S48" s="69">
        <v>1790</v>
      </c>
      <c r="T48" s="69">
        <v>1298</v>
      </c>
      <c r="U48" s="69">
        <v>700</v>
      </c>
      <c r="V48" s="69">
        <v>1170</v>
      </c>
      <c r="W48" s="69">
        <v>1888</v>
      </c>
      <c r="X48" s="69">
        <v>2558</v>
      </c>
      <c r="Y48" s="69">
        <v>2450</v>
      </c>
      <c r="Z48" s="69">
        <v>1210</v>
      </c>
      <c r="AA48" s="69">
        <v>1508</v>
      </c>
      <c r="AB48" s="69">
        <v>1298</v>
      </c>
      <c r="AC48" s="69">
        <v>1850</v>
      </c>
      <c r="AD48" s="69">
        <v>1803</v>
      </c>
      <c r="AE48" s="69">
        <v>1908</v>
      </c>
      <c r="AF48" s="69">
        <v>2268</v>
      </c>
      <c r="AG48" s="70"/>
      <c r="AH48" s="70"/>
      <c r="AI48" s="70"/>
      <c r="AJ48" s="70"/>
    </row>
    <row r="49" spans="1:36" ht="16.5" customHeight="1" x14ac:dyDescent="0.3">
      <c r="A49" s="50" t="s">
        <v>4</v>
      </c>
      <c r="B49" s="51"/>
      <c r="C49" s="52"/>
      <c r="D49" s="66">
        <f>SUM(D47:D48)</f>
        <v>43197</v>
      </c>
      <c r="E49" s="66">
        <f t="shared" ref="E49:AJ49" si="3">SUM(E47:E48)</f>
        <v>850</v>
      </c>
      <c r="F49" s="66">
        <f t="shared" si="3"/>
        <v>880</v>
      </c>
      <c r="G49" s="66">
        <f t="shared" si="3"/>
        <v>1428</v>
      </c>
      <c r="H49" s="66">
        <f t="shared" si="3"/>
        <v>1108</v>
      </c>
      <c r="I49" s="66">
        <f t="shared" si="3"/>
        <v>770</v>
      </c>
      <c r="J49" s="66">
        <f t="shared" si="3"/>
        <v>1990</v>
      </c>
      <c r="K49" s="66">
        <f t="shared" si="3"/>
        <v>1938</v>
      </c>
      <c r="L49" s="66">
        <f t="shared" si="3"/>
        <v>1108</v>
      </c>
      <c r="M49" s="66">
        <f t="shared" si="3"/>
        <v>800</v>
      </c>
      <c r="N49" s="66">
        <f t="shared" si="3"/>
        <v>1700</v>
      </c>
      <c r="O49" s="66">
        <f t="shared" si="3"/>
        <v>1938</v>
      </c>
      <c r="P49" s="66">
        <f t="shared" si="3"/>
        <v>1668</v>
      </c>
      <c r="Q49" s="66">
        <f t="shared" si="3"/>
        <v>1650</v>
      </c>
      <c r="R49" s="66">
        <f t="shared" si="3"/>
        <v>1670</v>
      </c>
      <c r="S49" s="66">
        <f t="shared" si="3"/>
        <v>1790</v>
      </c>
      <c r="T49" s="66">
        <f t="shared" si="3"/>
        <v>1298</v>
      </c>
      <c r="U49" s="66">
        <f t="shared" si="3"/>
        <v>700</v>
      </c>
      <c r="V49" s="66">
        <f t="shared" si="3"/>
        <v>1170</v>
      </c>
      <c r="W49" s="66">
        <f t="shared" si="3"/>
        <v>1888</v>
      </c>
      <c r="X49" s="66">
        <f t="shared" si="3"/>
        <v>2558</v>
      </c>
      <c r="Y49" s="66">
        <f t="shared" si="3"/>
        <v>2450</v>
      </c>
      <c r="Z49" s="66">
        <f t="shared" si="3"/>
        <v>1210</v>
      </c>
      <c r="AA49" s="66">
        <f t="shared" si="3"/>
        <v>1508</v>
      </c>
      <c r="AB49" s="66">
        <f t="shared" si="3"/>
        <v>1298</v>
      </c>
      <c r="AC49" s="66">
        <f t="shared" si="3"/>
        <v>1850</v>
      </c>
      <c r="AD49" s="66">
        <f t="shared" si="3"/>
        <v>1803</v>
      </c>
      <c r="AE49" s="66">
        <f t="shared" si="3"/>
        <v>1908</v>
      </c>
      <c r="AF49" s="66">
        <f t="shared" si="3"/>
        <v>2268</v>
      </c>
      <c r="AG49" s="78">
        <f t="shared" si="3"/>
        <v>0</v>
      </c>
      <c r="AH49" s="78">
        <f t="shared" si="3"/>
        <v>0</v>
      </c>
      <c r="AI49" s="78">
        <f t="shared" si="3"/>
        <v>0</v>
      </c>
      <c r="AJ49" s="78">
        <f t="shared" si="3"/>
        <v>0</v>
      </c>
    </row>
    <row r="50" spans="1:36" ht="16.5" customHeight="1" x14ac:dyDescent="0.3">
      <c r="A50" s="82" t="s">
        <v>87</v>
      </c>
      <c r="B50" s="83"/>
      <c r="C50" s="84"/>
      <c r="D50" s="85">
        <f>D24+D49</f>
        <v>212735</v>
      </c>
      <c r="E50" s="85">
        <f t="shared" ref="E50:AJ50" si="4">E24+E49</f>
        <v>5230</v>
      </c>
      <c r="F50" s="85">
        <f t="shared" si="4"/>
        <v>4164</v>
      </c>
      <c r="G50" s="85">
        <f t="shared" si="4"/>
        <v>7634</v>
      </c>
      <c r="H50" s="85">
        <f t="shared" si="4"/>
        <v>5902</v>
      </c>
      <c r="I50" s="85">
        <f t="shared" si="4"/>
        <v>4750</v>
      </c>
      <c r="J50" s="85">
        <f t="shared" si="4"/>
        <v>9454</v>
      </c>
      <c r="K50" s="85">
        <f t="shared" si="4"/>
        <v>9085</v>
      </c>
      <c r="L50" s="85">
        <f t="shared" si="4"/>
        <v>5322</v>
      </c>
      <c r="M50" s="85">
        <f t="shared" si="4"/>
        <v>5130</v>
      </c>
      <c r="N50" s="85">
        <f t="shared" si="4"/>
        <v>7401</v>
      </c>
      <c r="O50" s="85">
        <f t="shared" si="4"/>
        <v>8940</v>
      </c>
      <c r="P50" s="85">
        <f t="shared" si="4"/>
        <v>10292</v>
      </c>
      <c r="Q50" s="85">
        <f t="shared" si="4"/>
        <v>8920</v>
      </c>
      <c r="R50" s="85">
        <f t="shared" si="4"/>
        <v>7334</v>
      </c>
      <c r="S50" s="85">
        <f t="shared" si="4"/>
        <v>6917</v>
      </c>
      <c r="T50" s="85">
        <f t="shared" si="4"/>
        <v>6802</v>
      </c>
      <c r="U50" s="85">
        <f t="shared" si="4"/>
        <v>5540</v>
      </c>
      <c r="V50" s="85">
        <f t="shared" si="4"/>
        <v>5514</v>
      </c>
      <c r="W50" s="85">
        <f t="shared" si="4"/>
        <v>7589</v>
      </c>
      <c r="X50" s="85">
        <f t="shared" si="4"/>
        <v>11547</v>
      </c>
      <c r="Y50" s="85">
        <f t="shared" si="4"/>
        <v>12490</v>
      </c>
      <c r="Z50" s="85">
        <f t="shared" si="4"/>
        <v>6163</v>
      </c>
      <c r="AA50" s="85">
        <f t="shared" si="4"/>
        <v>5937</v>
      </c>
      <c r="AB50" s="85">
        <f t="shared" si="4"/>
        <v>6802</v>
      </c>
      <c r="AC50" s="85">
        <f t="shared" si="4"/>
        <v>9880</v>
      </c>
      <c r="AD50" s="85">
        <f t="shared" si="4"/>
        <v>8314</v>
      </c>
      <c r="AE50" s="85">
        <f t="shared" si="4"/>
        <v>11353</v>
      </c>
      <c r="AF50" s="85">
        <f t="shared" si="4"/>
        <v>8329</v>
      </c>
      <c r="AG50" s="86">
        <f t="shared" si="4"/>
        <v>0</v>
      </c>
      <c r="AH50" s="86">
        <f t="shared" si="4"/>
        <v>0</v>
      </c>
      <c r="AI50" s="86">
        <f t="shared" si="4"/>
        <v>0</v>
      </c>
      <c r="AJ50" s="86">
        <f t="shared" si="4"/>
        <v>0</v>
      </c>
    </row>
    <row r="51" spans="1:36" x14ac:dyDescent="0.3">
      <c r="D51" s="87"/>
      <c r="E51" s="87"/>
      <c r="F51" s="87"/>
      <c r="G51" s="87"/>
      <c r="H51" s="87"/>
      <c r="I51" s="87"/>
      <c r="J51" s="87"/>
      <c r="K51" s="87">
        <f>SUM(E50:K50)</f>
        <v>46219</v>
      </c>
      <c r="L51" s="87"/>
      <c r="M51" s="87"/>
      <c r="N51" s="87"/>
      <c r="O51" s="87"/>
      <c r="P51" s="87"/>
      <c r="Q51" s="87"/>
      <c r="R51" s="87">
        <f>SUM(L50:R50)</f>
        <v>53339</v>
      </c>
      <c r="S51" s="87"/>
      <c r="T51" s="87"/>
      <c r="U51" s="87"/>
      <c r="V51" s="87"/>
      <c r="W51" s="87"/>
      <c r="X51" s="87"/>
      <c r="Y51" s="87">
        <f>SUM(S50:Y50)</f>
        <v>56399</v>
      </c>
      <c r="Z51" s="87"/>
      <c r="AA51" s="87"/>
      <c r="AB51" s="87"/>
      <c r="AC51" s="87"/>
      <c r="AD51" s="87"/>
      <c r="AE51" s="87"/>
      <c r="AF51" s="87">
        <f>SUM(Z50:AF50)</f>
        <v>56778</v>
      </c>
    </row>
  </sheetData>
  <mergeCells count="32">
    <mergeCell ref="A49:C49"/>
    <mergeCell ref="A50:C50"/>
    <mergeCell ref="B22:C22"/>
    <mergeCell ref="B23:C23"/>
    <mergeCell ref="A24:C24"/>
    <mergeCell ref="A25:A48"/>
    <mergeCell ref="B25:B35"/>
    <mergeCell ref="B36:B40"/>
    <mergeCell ref="B41:B46"/>
    <mergeCell ref="B47:B48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D1:O2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D7" sqref="D7"/>
    </sheetView>
  </sheetViews>
  <sheetFormatPr defaultColWidth="8.75" defaultRowHeight="16.5" x14ac:dyDescent="0.3"/>
  <cols>
    <col min="1" max="1" width="20.25" style="44" bestFit="1" customWidth="1"/>
    <col min="2" max="2" width="7.375" style="44" customWidth="1"/>
    <col min="3" max="3" width="20.25" style="44" bestFit="1" customWidth="1"/>
    <col min="4" max="4" width="10.375" style="44" customWidth="1"/>
    <col min="5" max="33" width="9.125" style="44" customWidth="1"/>
    <col min="34" max="34" width="8.875" style="44" bestFit="1" customWidth="1"/>
    <col min="35" max="35" width="8.875" style="44" hidden="1" customWidth="1"/>
    <col min="36" max="36" width="8.75" style="44" bestFit="1" customWidth="1"/>
    <col min="37" max="16384" width="8.75" style="44"/>
  </cols>
  <sheetData>
    <row r="1" spans="1:36" ht="34.5" customHeight="1" x14ac:dyDescent="0.3">
      <c r="B1" s="45"/>
      <c r="C1" s="45"/>
      <c r="D1" s="46" t="s">
        <v>88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36" ht="14.25" customHeight="1" x14ac:dyDescent="0.3">
      <c r="A2" s="47"/>
      <c r="B2" s="48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8"/>
      <c r="Q2" s="48"/>
    </row>
    <row r="3" spans="1:36" ht="16.5" customHeight="1" x14ac:dyDescent="0.3">
      <c r="A3" s="50" t="s">
        <v>19</v>
      </c>
      <c r="B3" s="51"/>
      <c r="C3" s="52"/>
      <c r="D3" s="53" t="s">
        <v>5</v>
      </c>
      <c r="E3" s="54">
        <v>1</v>
      </c>
      <c r="F3" s="54">
        <v>2</v>
      </c>
      <c r="G3" s="54">
        <v>3</v>
      </c>
      <c r="H3" s="54">
        <v>4</v>
      </c>
      <c r="I3" s="54">
        <v>5</v>
      </c>
      <c r="J3" s="54">
        <v>6</v>
      </c>
      <c r="K3" s="54">
        <v>7</v>
      </c>
      <c r="L3" s="54">
        <v>8</v>
      </c>
      <c r="M3" s="54">
        <v>9</v>
      </c>
      <c r="N3" s="54">
        <v>10</v>
      </c>
      <c r="O3" s="54">
        <v>11</v>
      </c>
      <c r="P3" s="54">
        <v>12</v>
      </c>
      <c r="Q3" s="54">
        <v>13</v>
      </c>
      <c r="R3" s="54">
        <v>14</v>
      </c>
      <c r="S3" s="54">
        <v>15</v>
      </c>
      <c r="T3" s="54">
        <v>16</v>
      </c>
      <c r="U3" s="54">
        <v>17</v>
      </c>
      <c r="V3" s="54">
        <v>18</v>
      </c>
      <c r="W3" s="54">
        <v>19</v>
      </c>
      <c r="X3" s="54">
        <v>20</v>
      </c>
      <c r="Y3" s="54">
        <v>21</v>
      </c>
      <c r="Z3" s="54">
        <v>22</v>
      </c>
      <c r="AA3" s="54">
        <v>23</v>
      </c>
      <c r="AB3" s="54">
        <v>24</v>
      </c>
      <c r="AC3" s="54">
        <v>25</v>
      </c>
      <c r="AD3" s="54">
        <v>26</v>
      </c>
      <c r="AE3" s="54">
        <v>27</v>
      </c>
      <c r="AF3" s="54">
        <v>28</v>
      </c>
      <c r="AG3" s="54">
        <v>29</v>
      </c>
      <c r="AH3" s="54">
        <v>30</v>
      </c>
      <c r="AI3" s="54">
        <v>31</v>
      </c>
      <c r="AJ3" s="54">
        <v>31</v>
      </c>
    </row>
    <row r="4" spans="1:36" ht="16.5" customHeight="1" x14ac:dyDescent="0.3">
      <c r="A4" s="50" t="s">
        <v>18</v>
      </c>
      <c r="B4" s="51"/>
      <c r="C4" s="52"/>
      <c r="D4" s="55"/>
      <c r="E4" s="56" t="s">
        <v>89</v>
      </c>
      <c r="F4" s="56" t="s">
        <v>56</v>
      </c>
      <c r="G4" s="56" t="s">
        <v>57</v>
      </c>
      <c r="H4" s="56" t="s">
        <v>58</v>
      </c>
      <c r="I4" s="56" t="s">
        <v>59</v>
      </c>
      <c r="J4" s="56" t="s">
        <v>60</v>
      </c>
      <c r="K4" s="56" t="s">
        <v>54</v>
      </c>
      <c r="L4" s="56" t="s">
        <v>55</v>
      </c>
      <c r="M4" s="56" t="s">
        <v>56</v>
      </c>
      <c r="N4" s="56" t="s">
        <v>57</v>
      </c>
      <c r="O4" s="56" t="s">
        <v>58</v>
      </c>
      <c r="P4" s="56" t="s">
        <v>59</v>
      </c>
      <c r="Q4" s="56" t="s">
        <v>60</v>
      </c>
      <c r="R4" s="56" t="s">
        <v>54</v>
      </c>
      <c r="S4" s="56" t="s">
        <v>55</v>
      </c>
      <c r="T4" s="56" t="s">
        <v>56</v>
      </c>
      <c r="U4" s="56" t="s">
        <v>57</v>
      </c>
      <c r="V4" s="56" t="s">
        <v>58</v>
      </c>
      <c r="W4" s="56" t="s">
        <v>59</v>
      </c>
      <c r="X4" s="56" t="s">
        <v>60</v>
      </c>
      <c r="Y4" s="56" t="s">
        <v>54</v>
      </c>
      <c r="Z4" s="56" t="s">
        <v>55</v>
      </c>
      <c r="AA4" s="56" t="s">
        <v>56</v>
      </c>
      <c r="AB4" s="56" t="s">
        <v>57</v>
      </c>
      <c r="AC4" s="56" t="s">
        <v>58</v>
      </c>
      <c r="AD4" s="56" t="s">
        <v>59</v>
      </c>
      <c r="AE4" s="56" t="s">
        <v>60</v>
      </c>
      <c r="AF4" s="56" t="s">
        <v>54</v>
      </c>
      <c r="AG4" s="56" t="s">
        <v>55</v>
      </c>
      <c r="AH4" s="56" t="s">
        <v>56</v>
      </c>
      <c r="AI4" s="56" t="s">
        <v>57</v>
      </c>
      <c r="AJ4" s="56" t="s">
        <v>90</v>
      </c>
    </row>
    <row r="5" spans="1:36" ht="26.25" customHeight="1" x14ac:dyDescent="0.3">
      <c r="A5" s="57" t="s">
        <v>31</v>
      </c>
      <c r="B5" s="58" t="s">
        <v>30</v>
      </c>
      <c r="C5" s="59"/>
      <c r="D5" s="60"/>
      <c r="E5" s="61" t="s">
        <v>91</v>
      </c>
      <c r="F5" s="61" t="s">
        <v>92</v>
      </c>
      <c r="G5" s="61" t="s">
        <v>92</v>
      </c>
      <c r="H5" s="61" t="s">
        <v>93</v>
      </c>
      <c r="I5" s="61" t="s">
        <v>92</v>
      </c>
      <c r="J5" s="61" t="s">
        <v>92</v>
      </c>
      <c r="K5" s="61" t="s">
        <v>92</v>
      </c>
      <c r="L5" s="61" t="s">
        <v>93</v>
      </c>
      <c r="M5" s="61" t="s">
        <v>92</v>
      </c>
      <c r="N5" s="61" t="s">
        <v>92</v>
      </c>
      <c r="O5" s="61" t="s">
        <v>92</v>
      </c>
      <c r="P5" s="61" t="s">
        <v>94</v>
      </c>
      <c r="Q5" s="61" t="s">
        <v>92</v>
      </c>
      <c r="R5" s="61" t="s">
        <v>93</v>
      </c>
      <c r="S5" s="61" t="s">
        <v>95</v>
      </c>
      <c r="T5" s="61" t="s">
        <v>92</v>
      </c>
      <c r="U5" s="61" t="s">
        <v>92</v>
      </c>
      <c r="V5" s="61" t="s">
        <v>92</v>
      </c>
      <c r="W5" s="61" t="s">
        <v>96</v>
      </c>
      <c r="X5" s="61" t="s">
        <v>97</v>
      </c>
      <c r="Y5" s="61" t="s">
        <v>92</v>
      </c>
      <c r="Z5" s="61" t="s">
        <v>98</v>
      </c>
      <c r="AA5" s="61" t="s">
        <v>92</v>
      </c>
      <c r="AB5" s="61" t="s">
        <v>92</v>
      </c>
      <c r="AC5" s="61" t="s">
        <v>92</v>
      </c>
      <c r="AD5" s="61" t="s">
        <v>93</v>
      </c>
      <c r="AE5" s="61" t="s">
        <v>97</v>
      </c>
      <c r="AF5" s="61" t="s">
        <v>97</v>
      </c>
      <c r="AG5" s="61" t="s">
        <v>92</v>
      </c>
      <c r="AH5" s="61" t="s">
        <v>92</v>
      </c>
      <c r="AI5" s="61"/>
      <c r="AJ5" s="61" t="s">
        <v>92</v>
      </c>
    </row>
    <row r="6" spans="1:36" ht="16.5" customHeight="1" x14ac:dyDescent="0.3">
      <c r="A6" s="63"/>
      <c r="B6" s="64" t="s">
        <v>21</v>
      </c>
      <c r="C6" s="65"/>
      <c r="D6" s="78">
        <f t="shared" ref="D6:D24" si="0">SUM(E6:AH6)</f>
        <v>880</v>
      </c>
      <c r="E6" s="74">
        <v>120</v>
      </c>
      <c r="F6" s="74">
        <v>0</v>
      </c>
      <c r="G6" s="74">
        <v>0</v>
      </c>
      <c r="H6" s="74">
        <v>0</v>
      </c>
      <c r="I6" s="74">
        <v>120</v>
      </c>
      <c r="J6" s="74">
        <v>0</v>
      </c>
      <c r="K6" s="67">
        <v>0</v>
      </c>
      <c r="L6" s="67">
        <v>0</v>
      </c>
      <c r="M6" s="67">
        <v>120</v>
      </c>
      <c r="N6" s="67">
        <v>0</v>
      </c>
      <c r="O6" s="68">
        <v>0</v>
      </c>
      <c r="P6" s="67">
        <v>0</v>
      </c>
      <c r="Q6" s="67">
        <v>120</v>
      </c>
      <c r="R6" s="69">
        <v>0</v>
      </c>
      <c r="S6" s="69">
        <v>0</v>
      </c>
      <c r="T6" s="69">
        <v>0</v>
      </c>
      <c r="U6" s="69">
        <v>100</v>
      </c>
      <c r="V6" s="69">
        <v>0</v>
      </c>
      <c r="W6" s="69">
        <v>0</v>
      </c>
      <c r="X6" s="69">
        <v>0</v>
      </c>
      <c r="Y6" s="69">
        <v>100</v>
      </c>
      <c r="Z6" s="69">
        <v>0</v>
      </c>
      <c r="AA6" s="69">
        <v>0</v>
      </c>
      <c r="AB6" s="69">
        <v>0</v>
      </c>
      <c r="AC6" s="69">
        <v>100</v>
      </c>
      <c r="AD6" s="69">
        <v>0</v>
      </c>
      <c r="AE6" s="69">
        <v>0</v>
      </c>
      <c r="AF6" s="69">
        <v>0</v>
      </c>
      <c r="AG6" s="69">
        <v>100</v>
      </c>
      <c r="AH6" s="88">
        <v>0</v>
      </c>
      <c r="AI6" s="69"/>
      <c r="AJ6" s="88">
        <v>0</v>
      </c>
    </row>
    <row r="7" spans="1:36" ht="16.5" customHeight="1" x14ac:dyDescent="0.3">
      <c r="A7" s="63"/>
      <c r="B7" s="64" t="s">
        <v>22</v>
      </c>
      <c r="C7" s="65"/>
      <c r="D7" s="89">
        <f>SUM(E7:AH7)-D20</f>
        <v>36167</v>
      </c>
      <c r="E7" s="74">
        <v>1040</v>
      </c>
      <c r="F7" s="74">
        <v>1380</v>
      </c>
      <c r="G7" s="74">
        <v>873</v>
      </c>
      <c r="H7" s="74">
        <v>650</v>
      </c>
      <c r="I7" s="74">
        <v>1500</v>
      </c>
      <c r="J7" s="74">
        <v>1660</v>
      </c>
      <c r="K7" s="67">
        <v>1373</v>
      </c>
      <c r="L7" s="67">
        <v>850</v>
      </c>
      <c r="M7" s="67">
        <v>1300</v>
      </c>
      <c r="N7" s="67">
        <v>1300</v>
      </c>
      <c r="O7" s="67">
        <v>873</v>
      </c>
      <c r="P7" s="67">
        <v>850</v>
      </c>
      <c r="Q7" s="67">
        <v>2300</v>
      </c>
      <c r="R7" s="69">
        <v>1740</v>
      </c>
      <c r="S7" s="69">
        <v>873</v>
      </c>
      <c r="T7" s="69">
        <v>850</v>
      </c>
      <c r="U7" s="69">
        <v>1400</v>
      </c>
      <c r="V7" s="69">
        <v>2060</v>
      </c>
      <c r="W7" s="69">
        <v>910</v>
      </c>
      <c r="X7" s="69">
        <v>650</v>
      </c>
      <c r="Y7" s="69">
        <v>1800</v>
      </c>
      <c r="Z7" s="69">
        <v>1560</v>
      </c>
      <c r="AA7" s="69">
        <v>853</v>
      </c>
      <c r="AB7" s="69">
        <v>650</v>
      </c>
      <c r="AC7" s="69">
        <v>1500</v>
      </c>
      <c r="AD7" s="69">
        <v>1700</v>
      </c>
      <c r="AE7" s="69">
        <v>453</v>
      </c>
      <c r="AF7" s="69">
        <v>220</v>
      </c>
      <c r="AG7" s="69">
        <v>1620</v>
      </c>
      <c r="AH7" s="69">
        <v>1760</v>
      </c>
      <c r="AI7" s="69"/>
      <c r="AJ7" s="69">
        <v>853</v>
      </c>
    </row>
    <row r="8" spans="1:36" ht="16.5" customHeight="1" x14ac:dyDescent="0.3">
      <c r="A8" s="63"/>
      <c r="B8" s="64" t="s">
        <v>24</v>
      </c>
      <c r="C8" s="65"/>
      <c r="D8" s="78">
        <f>SUM(E8:AH8)</f>
        <v>33192</v>
      </c>
      <c r="E8" s="74">
        <v>480</v>
      </c>
      <c r="F8" s="74">
        <v>1080</v>
      </c>
      <c r="G8" s="74">
        <v>1690</v>
      </c>
      <c r="H8" s="74">
        <v>986</v>
      </c>
      <c r="I8" s="74">
        <v>580</v>
      </c>
      <c r="J8" s="74">
        <v>1580</v>
      </c>
      <c r="K8" s="67">
        <f>1840</f>
        <v>1840</v>
      </c>
      <c r="L8" s="67">
        <v>936</v>
      </c>
      <c r="M8" s="67">
        <v>580</v>
      </c>
      <c r="N8" s="67">
        <v>1480</v>
      </c>
      <c r="O8" s="67">
        <v>1630</v>
      </c>
      <c r="P8" s="67">
        <v>666</v>
      </c>
      <c r="Q8" s="67">
        <v>580</v>
      </c>
      <c r="R8" s="69">
        <v>2300</v>
      </c>
      <c r="S8" s="69">
        <v>1660</v>
      </c>
      <c r="T8" s="69">
        <v>666</v>
      </c>
      <c r="U8" s="69">
        <v>550</v>
      </c>
      <c r="V8" s="69">
        <v>1700</v>
      </c>
      <c r="W8" s="69">
        <v>1870</v>
      </c>
      <c r="X8" s="69">
        <v>476</v>
      </c>
      <c r="Y8" s="69">
        <v>550</v>
      </c>
      <c r="Z8" s="69">
        <v>1400</v>
      </c>
      <c r="AA8" s="69">
        <v>1620</v>
      </c>
      <c r="AB8" s="69">
        <v>666</v>
      </c>
      <c r="AC8" s="69">
        <v>550</v>
      </c>
      <c r="AD8" s="69">
        <v>1800</v>
      </c>
      <c r="AE8" s="69">
        <v>490</v>
      </c>
      <c r="AF8" s="69">
        <v>1056</v>
      </c>
      <c r="AG8" s="69">
        <v>550</v>
      </c>
      <c r="AH8" s="69">
        <v>1180</v>
      </c>
      <c r="AI8" s="69"/>
      <c r="AJ8" s="69">
        <v>1370</v>
      </c>
    </row>
    <row r="9" spans="1:36" ht="16.5" customHeight="1" x14ac:dyDescent="0.3">
      <c r="A9" s="63"/>
      <c r="B9" s="64" t="s">
        <v>28</v>
      </c>
      <c r="C9" s="65"/>
      <c r="D9" s="78">
        <f t="shared" si="0"/>
        <v>35438</v>
      </c>
      <c r="E9" s="74">
        <v>820</v>
      </c>
      <c r="F9" s="74">
        <f>370+730</f>
        <v>1100</v>
      </c>
      <c r="G9" s="74">
        <f>670+515</f>
        <v>1185</v>
      </c>
      <c r="H9" s="90">
        <f>553+900</f>
        <v>1453</v>
      </c>
      <c r="I9" s="74">
        <f>700+480</f>
        <v>1180</v>
      </c>
      <c r="J9" s="74">
        <f>370+820</f>
        <v>1190</v>
      </c>
      <c r="K9" s="67">
        <f>584+815</f>
        <v>1399</v>
      </c>
      <c r="L9" s="67">
        <f>553+900</f>
        <v>1453</v>
      </c>
      <c r="M9" s="67">
        <f>700+400</f>
        <v>1100</v>
      </c>
      <c r="N9" s="67">
        <f>360+600</f>
        <v>960</v>
      </c>
      <c r="O9" s="67">
        <f>495+490</f>
        <v>985</v>
      </c>
      <c r="P9" s="67">
        <f>373+900</f>
        <v>1273</v>
      </c>
      <c r="Q9" s="67">
        <f>700+530</f>
        <v>1230</v>
      </c>
      <c r="R9" s="69">
        <f>1120+510</f>
        <v>1630</v>
      </c>
      <c r="S9" s="69">
        <f>495+490</f>
        <v>985</v>
      </c>
      <c r="T9" s="69">
        <v>1273</v>
      </c>
      <c r="U9" s="69">
        <v>1110</v>
      </c>
      <c r="V9" s="69">
        <v>1620</v>
      </c>
      <c r="W9" s="69">
        <v>1185</v>
      </c>
      <c r="X9" s="69">
        <v>823</v>
      </c>
      <c r="Y9" s="69">
        <v>1230</v>
      </c>
      <c r="Z9" s="69">
        <v>1350</v>
      </c>
      <c r="AA9" s="69">
        <v>1045</v>
      </c>
      <c r="AB9" s="69">
        <v>1073</v>
      </c>
      <c r="AC9" s="69">
        <v>1080</v>
      </c>
      <c r="AD9" s="69">
        <v>1570</v>
      </c>
      <c r="AE9" s="69">
        <v>235</v>
      </c>
      <c r="AF9" s="69">
        <v>1011</v>
      </c>
      <c r="AG9" s="69">
        <v>1480</v>
      </c>
      <c r="AH9" s="69">
        <v>1410</v>
      </c>
      <c r="AI9" s="69"/>
      <c r="AJ9" s="69">
        <v>1150</v>
      </c>
    </row>
    <row r="10" spans="1:36" ht="16.5" customHeight="1" x14ac:dyDescent="0.3">
      <c r="A10" s="63"/>
      <c r="B10" s="58" t="s">
        <v>99</v>
      </c>
      <c r="C10" s="59"/>
      <c r="D10" s="78">
        <f t="shared" si="0"/>
        <v>0</v>
      </c>
      <c r="E10" s="74"/>
      <c r="F10" s="74"/>
      <c r="G10" s="74"/>
      <c r="H10" s="74"/>
      <c r="I10" s="74"/>
      <c r="J10" s="74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ht="16.5" customHeight="1" x14ac:dyDescent="0.3">
      <c r="A11" s="63"/>
      <c r="B11" s="58" t="s">
        <v>38</v>
      </c>
      <c r="C11" s="59"/>
      <c r="D11" s="78">
        <f t="shared" si="0"/>
        <v>0</v>
      </c>
      <c r="E11" s="74"/>
      <c r="F11" s="74"/>
      <c r="G11" s="74"/>
      <c r="H11" s="74"/>
      <c r="I11" s="74"/>
      <c r="J11" s="74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ht="16.5" customHeight="1" x14ac:dyDescent="0.3">
      <c r="A12" s="63"/>
      <c r="B12" s="64" t="s">
        <v>44</v>
      </c>
      <c r="C12" s="65"/>
      <c r="D12" s="78">
        <f t="shared" si="0"/>
        <v>0</v>
      </c>
      <c r="E12" s="74"/>
      <c r="F12" s="74"/>
      <c r="G12" s="74"/>
      <c r="H12" s="74"/>
      <c r="I12" s="74"/>
      <c r="J12" s="74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</row>
    <row r="13" spans="1:36" ht="16.5" customHeight="1" x14ac:dyDescent="0.3">
      <c r="A13" s="63"/>
      <c r="B13" s="58" t="s">
        <v>46</v>
      </c>
      <c r="C13" s="59"/>
      <c r="D13" s="78">
        <f t="shared" si="0"/>
        <v>0</v>
      </c>
      <c r="E13" s="74"/>
      <c r="F13" s="74"/>
      <c r="G13" s="74"/>
      <c r="H13" s="74"/>
      <c r="I13" s="74"/>
      <c r="J13" s="74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36" ht="16.5" customHeight="1" x14ac:dyDescent="0.3">
      <c r="A14" s="63"/>
      <c r="B14" s="58" t="s">
        <v>3</v>
      </c>
      <c r="C14" s="59"/>
      <c r="D14" s="78">
        <f t="shared" si="0"/>
        <v>0</v>
      </c>
      <c r="E14" s="74"/>
      <c r="F14" s="74"/>
      <c r="G14" s="74"/>
      <c r="H14" s="74"/>
      <c r="I14" s="74"/>
      <c r="J14" s="74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spans="1:36" ht="16.5" customHeight="1" x14ac:dyDescent="0.3">
      <c r="A15" s="63"/>
      <c r="B15" s="58" t="s">
        <v>7</v>
      </c>
      <c r="C15" s="59"/>
      <c r="D15" s="78">
        <f t="shared" si="0"/>
        <v>0</v>
      </c>
      <c r="E15" s="74"/>
      <c r="F15" s="74"/>
      <c r="G15" s="74"/>
      <c r="H15" s="74"/>
      <c r="I15" s="74"/>
      <c r="J15" s="74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</row>
    <row r="16" spans="1:36" ht="16.5" customHeight="1" x14ac:dyDescent="0.3">
      <c r="A16" s="63"/>
      <c r="B16" s="58" t="s">
        <v>13</v>
      </c>
      <c r="C16" s="59"/>
      <c r="D16" s="78">
        <f t="shared" si="0"/>
        <v>0</v>
      </c>
      <c r="E16" s="74"/>
      <c r="F16" s="74"/>
      <c r="G16" s="74"/>
      <c r="H16" s="74"/>
      <c r="I16" s="74"/>
      <c r="J16" s="74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</row>
    <row r="17" spans="1:36" ht="16.5" customHeight="1" x14ac:dyDescent="0.3">
      <c r="A17" s="63"/>
      <c r="B17" s="58" t="s">
        <v>26</v>
      </c>
      <c r="C17" s="59"/>
      <c r="D17" s="78">
        <f t="shared" si="0"/>
        <v>0</v>
      </c>
      <c r="E17" s="74"/>
      <c r="F17" s="74"/>
      <c r="G17" s="74"/>
      <c r="H17" s="74"/>
      <c r="I17" s="74"/>
      <c r="J17" s="74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</row>
    <row r="18" spans="1:36" ht="16.5" customHeight="1" x14ac:dyDescent="0.3">
      <c r="A18" s="63"/>
      <c r="B18" s="64" t="s">
        <v>1</v>
      </c>
      <c r="C18" s="65"/>
      <c r="D18" s="78">
        <f t="shared" si="0"/>
        <v>52115</v>
      </c>
      <c r="E18" s="74">
        <f>480+1060</f>
        <v>1540</v>
      </c>
      <c r="F18" s="74">
        <f>740+1090</f>
        <v>1830</v>
      </c>
      <c r="G18" s="74">
        <f>930+760</f>
        <v>1690</v>
      </c>
      <c r="H18" s="74">
        <f>750+575</f>
        <v>1325</v>
      </c>
      <c r="I18" s="74">
        <f>480+1300</f>
        <v>1780</v>
      </c>
      <c r="J18" s="74">
        <f>940+1020</f>
        <v>1960</v>
      </c>
      <c r="K18" s="67">
        <f>1040+1120</f>
        <v>2160</v>
      </c>
      <c r="L18" s="67">
        <f>575+750</f>
        <v>1325</v>
      </c>
      <c r="M18" s="67">
        <f>480+1100</f>
        <v>1580</v>
      </c>
      <c r="N18" s="67">
        <f>840+980</f>
        <v>1820</v>
      </c>
      <c r="O18" s="67">
        <f>940+690</f>
        <v>1630</v>
      </c>
      <c r="P18" s="67">
        <f>415+750</f>
        <v>1165</v>
      </c>
      <c r="Q18" s="67">
        <f>680+1800</f>
        <v>2480</v>
      </c>
      <c r="R18" s="69">
        <f>1880+1370</f>
        <v>3250</v>
      </c>
      <c r="S18" s="69">
        <f>950+710</f>
        <v>1660</v>
      </c>
      <c r="T18" s="69">
        <v>1165</v>
      </c>
      <c r="U18" s="69">
        <v>1970</v>
      </c>
      <c r="V18" s="69">
        <v>2200</v>
      </c>
      <c r="W18" s="69">
        <v>1840</v>
      </c>
      <c r="X18" s="69">
        <v>915</v>
      </c>
      <c r="Y18" s="69">
        <v>2370</v>
      </c>
      <c r="Z18" s="69">
        <v>2060</v>
      </c>
      <c r="AA18" s="69">
        <v>1660</v>
      </c>
      <c r="AB18" s="69">
        <v>1165</v>
      </c>
      <c r="AC18" s="69">
        <v>1870</v>
      </c>
      <c r="AD18" s="69">
        <v>2320</v>
      </c>
      <c r="AE18" s="69">
        <v>670</v>
      </c>
      <c r="AF18" s="69">
        <v>685</v>
      </c>
      <c r="AG18" s="69">
        <v>1870</v>
      </c>
      <c r="AH18" s="69">
        <v>2160</v>
      </c>
      <c r="AI18" s="69"/>
      <c r="AJ18" s="69">
        <v>2100</v>
      </c>
    </row>
    <row r="19" spans="1:36" ht="16.5" customHeight="1" x14ac:dyDescent="0.3">
      <c r="A19" s="63"/>
      <c r="B19" s="58" t="s">
        <v>2</v>
      </c>
      <c r="C19" s="59"/>
      <c r="D19" s="78">
        <f t="shared" si="0"/>
        <v>0</v>
      </c>
      <c r="E19" s="74"/>
      <c r="F19" s="74"/>
      <c r="G19" s="74"/>
      <c r="H19" s="74"/>
      <c r="I19" s="74"/>
      <c r="J19" s="74"/>
      <c r="K19" s="67"/>
      <c r="L19" s="67"/>
      <c r="M19" s="67"/>
      <c r="N19" s="67"/>
      <c r="O19" s="67"/>
      <c r="P19" s="67"/>
      <c r="Q19" s="67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16.5" customHeight="1" x14ac:dyDescent="0.3">
      <c r="A20" s="63"/>
      <c r="B20" s="75" t="s">
        <v>100</v>
      </c>
      <c r="C20" s="76"/>
      <c r="D20" s="89">
        <v>381</v>
      </c>
      <c r="E20" s="74"/>
      <c r="F20" s="74"/>
      <c r="G20" s="74"/>
      <c r="H20" s="74"/>
      <c r="I20" s="74"/>
      <c r="J20" s="74"/>
      <c r="K20" s="67"/>
      <c r="L20" s="67"/>
      <c r="M20" s="67"/>
      <c r="N20" s="67"/>
      <c r="O20" s="67"/>
      <c r="P20" s="67"/>
      <c r="Q20" s="67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16.5" customHeight="1" x14ac:dyDescent="0.3">
      <c r="A21" s="63"/>
      <c r="B21" s="64" t="s">
        <v>15</v>
      </c>
      <c r="C21" s="65"/>
      <c r="D21" s="78">
        <f t="shared" si="0"/>
        <v>16821</v>
      </c>
      <c r="E21" s="74">
        <f>440+0</f>
        <v>440</v>
      </c>
      <c r="F21" s="74">
        <f>200+50</f>
        <v>250</v>
      </c>
      <c r="G21" s="74">
        <f>174+170</f>
        <v>344</v>
      </c>
      <c r="H21" s="74">
        <f>170+600</f>
        <v>770</v>
      </c>
      <c r="I21" s="74">
        <f>590+370</f>
        <v>960</v>
      </c>
      <c r="J21" s="74">
        <f>210+69</f>
        <v>279</v>
      </c>
      <c r="K21" s="67">
        <f>240+544</f>
        <v>784</v>
      </c>
      <c r="L21" s="67">
        <f>800+170</f>
        <v>970</v>
      </c>
      <c r="M21" s="67">
        <f>350+400</f>
        <v>750</v>
      </c>
      <c r="N21" s="67">
        <f>200+60</f>
        <v>260</v>
      </c>
      <c r="O21" s="67">
        <f>80+144</f>
        <v>224</v>
      </c>
      <c r="P21" s="67">
        <f>110+800</f>
        <v>910</v>
      </c>
      <c r="Q21" s="67">
        <f>600+550</f>
        <v>1150</v>
      </c>
      <c r="R21" s="69">
        <f>390+80</f>
        <v>470</v>
      </c>
      <c r="S21" s="69">
        <f>50+144</f>
        <v>194</v>
      </c>
      <c r="T21" s="69">
        <v>910</v>
      </c>
      <c r="U21" s="69">
        <v>960</v>
      </c>
      <c r="V21" s="69">
        <v>309</v>
      </c>
      <c r="W21" s="69">
        <v>224</v>
      </c>
      <c r="X21" s="69">
        <v>710</v>
      </c>
      <c r="Y21" s="69">
        <v>1040</v>
      </c>
      <c r="Z21" s="69">
        <v>250</v>
      </c>
      <c r="AA21" s="69">
        <v>294</v>
      </c>
      <c r="AB21" s="69">
        <v>710</v>
      </c>
      <c r="AC21" s="69">
        <v>960</v>
      </c>
      <c r="AD21" s="69">
        <v>310</v>
      </c>
      <c r="AE21" s="69">
        <v>189</v>
      </c>
      <c r="AF21" s="69">
        <v>310</v>
      </c>
      <c r="AG21" s="69">
        <v>640</v>
      </c>
      <c r="AH21" s="69">
        <v>250</v>
      </c>
      <c r="AI21" s="69"/>
      <c r="AJ21" s="69">
        <v>224</v>
      </c>
    </row>
    <row r="22" spans="1:36" ht="16.5" customHeight="1" x14ac:dyDescent="0.3">
      <c r="A22" s="63"/>
      <c r="B22" s="64" t="s">
        <v>9</v>
      </c>
      <c r="C22" s="65"/>
      <c r="D22" s="78">
        <f t="shared" si="0"/>
        <v>12358</v>
      </c>
      <c r="E22" s="74">
        <f>450+31</f>
        <v>481</v>
      </c>
      <c r="F22" s="74">
        <f>40+50</f>
        <v>90</v>
      </c>
      <c r="G22" s="74">
        <v>244</v>
      </c>
      <c r="H22" s="74">
        <f>120+600</f>
        <v>720</v>
      </c>
      <c r="I22" s="74">
        <f>600+70</f>
        <v>670</v>
      </c>
      <c r="J22" s="74">
        <f>60+25</f>
        <v>85</v>
      </c>
      <c r="K22" s="67">
        <f>80+230</f>
        <v>310</v>
      </c>
      <c r="L22" s="67">
        <f>120+800</f>
        <v>920</v>
      </c>
      <c r="M22" s="67">
        <f>600+60</f>
        <v>660</v>
      </c>
      <c r="N22" s="67">
        <f>70+30</f>
        <v>100</v>
      </c>
      <c r="O22" s="67">
        <f>200+40</f>
        <v>240</v>
      </c>
      <c r="P22" s="67">
        <f>120+800</f>
        <v>920</v>
      </c>
      <c r="Q22" s="67">
        <v>700</v>
      </c>
      <c r="R22" s="69">
        <f>100+40</f>
        <v>140</v>
      </c>
      <c r="S22" s="69">
        <f>200+20</f>
        <v>220</v>
      </c>
      <c r="T22" s="69">
        <v>920</v>
      </c>
      <c r="U22" s="69">
        <v>530</v>
      </c>
      <c r="V22" s="69">
        <v>95</v>
      </c>
      <c r="W22" s="69">
        <v>220</v>
      </c>
      <c r="X22" s="69">
        <v>720</v>
      </c>
      <c r="Y22" s="69">
        <v>560</v>
      </c>
      <c r="Z22" s="69">
        <v>91</v>
      </c>
      <c r="AA22" s="69">
        <v>230</v>
      </c>
      <c r="AB22" s="69">
        <v>720</v>
      </c>
      <c r="AC22" s="69">
        <v>540</v>
      </c>
      <c r="AD22" s="69">
        <v>142</v>
      </c>
      <c r="AE22" s="69">
        <v>210</v>
      </c>
      <c r="AF22" s="69">
        <v>225</v>
      </c>
      <c r="AG22" s="69">
        <v>540</v>
      </c>
      <c r="AH22" s="69">
        <v>115</v>
      </c>
      <c r="AI22" s="69"/>
      <c r="AJ22" s="69">
        <v>260</v>
      </c>
    </row>
    <row r="23" spans="1:36" ht="16.5" customHeight="1" x14ac:dyDescent="0.3">
      <c r="A23" s="77"/>
      <c r="B23" s="64" t="s">
        <v>35</v>
      </c>
      <c r="C23" s="65"/>
      <c r="D23" s="78">
        <f t="shared" si="0"/>
        <v>0</v>
      </c>
      <c r="E23" s="74"/>
      <c r="F23" s="74"/>
      <c r="G23" s="74"/>
      <c r="H23" s="74"/>
      <c r="I23" s="74"/>
      <c r="J23" s="74"/>
      <c r="K23" s="67"/>
      <c r="L23" s="67"/>
      <c r="M23" s="67"/>
      <c r="N23" s="67"/>
      <c r="O23" s="67"/>
      <c r="P23" s="67"/>
      <c r="Q23" s="67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16.5" customHeight="1" x14ac:dyDescent="0.3">
      <c r="A24" s="50" t="s">
        <v>4</v>
      </c>
      <c r="B24" s="51"/>
      <c r="C24" s="52"/>
      <c r="D24" s="78">
        <f t="shared" si="0"/>
        <v>187352</v>
      </c>
      <c r="E24" s="54">
        <f>SUM(E6:E22)</f>
        <v>4921</v>
      </c>
      <c r="F24" s="54">
        <f t="shared" ref="F24:AJ24" si="1">SUM(F6:F22)</f>
        <v>5730</v>
      </c>
      <c r="G24" s="54">
        <f t="shared" si="1"/>
        <v>6026</v>
      </c>
      <c r="H24" s="54">
        <f t="shared" si="1"/>
        <v>5904</v>
      </c>
      <c r="I24" s="54">
        <f t="shared" si="1"/>
        <v>6790</v>
      </c>
      <c r="J24" s="54">
        <f t="shared" si="1"/>
        <v>6754</v>
      </c>
      <c r="K24" s="79">
        <f t="shared" si="1"/>
        <v>7866</v>
      </c>
      <c r="L24" s="79">
        <f t="shared" si="1"/>
        <v>6454</v>
      </c>
      <c r="M24" s="79">
        <f t="shared" si="1"/>
        <v>6090</v>
      </c>
      <c r="N24" s="79">
        <f t="shared" si="1"/>
        <v>5920</v>
      </c>
      <c r="O24" s="79">
        <f t="shared" si="1"/>
        <v>5582</v>
      </c>
      <c r="P24" s="79">
        <f t="shared" si="1"/>
        <v>5784</v>
      </c>
      <c r="Q24" s="79">
        <f t="shared" si="1"/>
        <v>8560</v>
      </c>
      <c r="R24" s="79">
        <f t="shared" si="1"/>
        <v>9530</v>
      </c>
      <c r="S24" s="79">
        <f t="shared" si="1"/>
        <v>5592</v>
      </c>
      <c r="T24" s="79">
        <f t="shared" si="1"/>
        <v>5784</v>
      </c>
      <c r="U24" s="79">
        <f t="shared" si="1"/>
        <v>6620</v>
      </c>
      <c r="V24" s="79">
        <f t="shared" si="1"/>
        <v>7984</v>
      </c>
      <c r="W24" s="79">
        <f t="shared" si="1"/>
        <v>6249</v>
      </c>
      <c r="X24" s="79">
        <f t="shared" si="1"/>
        <v>4294</v>
      </c>
      <c r="Y24" s="79">
        <f t="shared" si="1"/>
        <v>7650</v>
      </c>
      <c r="Z24" s="79">
        <f t="shared" si="1"/>
        <v>6711</v>
      </c>
      <c r="AA24" s="79">
        <f t="shared" si="1"/>
        <v>5702</v>
      </c>
      <c r="AB24" s="79">
        <f t="shared" si="1"/>
        <v>4984</v>
      </c>
      <c r="AC24" s="79">
        <f t="shared" si="1"/>
        <v>6600</v>
      </c>
      <c r="AD24" s="79">
        <f t="shared" si="1"/>
        <v>7842</v>
      </c>
      <c r="AE24" s="79">
        <f t="shared" si="1"/>
        <v>2247</v>
      </c>
      <c r="AF24" s="79">
        <f t="shared" si="1"/>
        <v>3507</v>
      </c>
      <c r="AG24" s="79">
        <f t="shared" si="1"/>
        <v>6800</v>
      </c>
      <c r="AH24" s="79">
        <f t="shared" si="1"/>
        <v>6875</v>
      </c>
      <c r="AI24" s="79">
        <f t="shared" si="1"/>
        <v>0</v>
      </c>
      <c r="AJ24" s="79">
        <f t="shared" si="1"/>
        <v>5957</v>
      </c>
    </row>
    <row r="25" spans="1:36" ht="16.5" hidden="1" customHeight="1" x14ac:dyDescent="0.3">
      <c r="A25" s="57" t="s">
        <v>23</v>
      </c>
      <c r="B25" s="57" t="s">
        <v>0</v>
      </c>
      <c r="C25" s="56" t="s">
        <v>50</v>
      </c>
      <c r="D25" s="78">
        <f t="shared" ref="D25:D46" si="2">SUM(E25:AF25)</f>
        <v>0</v>
      </c>
      <c r="E25" s="74"/>
      <c r="F25" s="74"/>
      <c r="G25" s="54"/>
      <c r="H25" s="74"/>
      <c r="I25" s="74"/>
      <c r="J25" s="74"/>
      <c r="K25" s="67"/>
      <c r="L25" s="67"/>
      <c r="M25" s="67"/>
      <c r="N25" s="67"/>
      <c r="O25" s="67"/>
      <c r="P25" s="67"/>
      <c r="Q25" s="67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</row>
    <row r="26" spans="1:36" ht="16.5" hidden="1" customHeight="1" x14ac:dyDescent="0.3">
      <c r="A26" s="63"/>
      <c r="B26" s="63"/>
      <c r="C26" s="56" t="s">
        <v>25</v>
      </c>
      <c r="D26" s="78">
        <f t="shared" si="2"/>
        <v>0</v>
      </c>
      <c r="E26" s="74"/>
      <c r="F26" s="74"/>
      <c r="G26" s="54"/>
      <c r="H26" s="74"/>
      <c r="I26" s="74"/>
      <c r="J26" s="74"/>
      <c r="K26" s="67"/>
      <c r="L26" s="67"/>
      <c r="M26" s="67"/>
      <c r="N26" s="67"/>
      <c r="O26" s="67"/>
      <c r="P26" s="67"/>
      <c r="Q26" s="67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</row>
    <row r="27" spans="1:36" ht="16.5" hidden="1" customHeight="1" x14ac:dyDescent="0.3">
      <c r="A27" s="63"/>
      <c r="B27" s="63"/>
      <c r="C27" s="56" t="s">
        <v>34</v>
      </c>
      <c r="D27" s="78">
        <f t="shared" si="2"/>
        <v>0</v>
      </c>
      <c r="E27" s="74"/>
      <c r="F27" s="74"/>
      <c r="G27" s="54"/>
      <c r="H27" s="74"/>
      <c r="I27" s="74"/>
      <c r="J27" s="74"/>
      <c r="K27" s="67"/>
      <c r="L27" s="67"/>
      <c r="M27" s="67"/>
      <c r="N27" s="67"/>
      <c r="O27" s="67"/>
      <c r="P27" s="67"/>
      <c r="Q27" s="67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ht="16.5" hidden="1" customHeight="1" x14ac:dyDescent="0.3">
      <c r="A28" s="63"/>
      <c r="B28" s="63"/>
      <c r="C28" s="56" t="s">
        <v>47</v>
      </c>
      <c r="D28" s="78">
        <f t="shared" si="2"/>
        <v>0</v>
      </c>
      <c r="E28" s="74"/>
      <c r="F28" s="74"/>
      <c r="G28" s="54"/>
      <c r="H28" s="74"/>
      <c r="I28" s="74"/>
      <c r="J28" s="74"/>
      <c r="K28" s="67"/>
      <c r="L28" s="67"/>
      <c r="M28" s="67"/>
      <c r="N28" s="67"/>
      <c r="O28" s="67"/>
      <c r="P28" s="67"/>
      <c r="Q28" s="67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16.5" hidden="1" customHeight="1" x14ac:dyDescent="0.3">
      <c r="A29" s="63"/>
      <c r="B29" s="63"/>
      <c r="C29" s="56" t="s">
        <v>40</v>
      </c>
      <c r="D29" s="78">
        <f t="shared" si="2"/>
        <v>0</v>
      </c>
      <c r="E29" s="74"/>
      <c r="F29" s="74"/>
      <c r="G29" s="54"/>
      <c r="H29" s="74"/>
      <c r="I29" s="74"/>
      <c r="J29" s="74"/>
      <c r="K29" s="67"/>
      <c r="L29" s="67"/>
      <c r="M29" s="67"/>
      <c r="N29" s="67"/>
      <c r="O29" s="67"/>
      <c r="P29" s="67"/>
      <c r="Q29" s="67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16.5" hidden="1" customHeight="1" x14ac:dyDescent="0.3">
      <c r="A30" s="63"/>
      <c r="B30" s="63"/>
      <c r="C30" s="56" t="s">
        <v>27</v>
      </c>
      <c r="D30" s="78">
        <f t="shared" si="2"/>
        <v>0</v>
      </c>
      <c r="E30" s="74"/>
      <c r="F30" s="74"/>
      <c r="G30" s="54"/>
      <c r="H30" s="74"/>
      <c r="I30" s="74"/>
      <c r="J30" s="74"/>
      <c r="K30" s="67"/>
      <c r="L30" s="67"/>
      <c r="M30" s="67"/>
      <c r="N30" s="67"/>
      <c r="O30" s="67"/>
      <c r="P30" s="67"/>
      <c r="Q30" s="67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16.5" hidden="1" customHeight="1" x14ac:dyDescent="0.3">
      <c r="A31" s="63"/>
      <c r="B31" s="63"/>
      <c r="C31" s="56" t="s">
        <v>39</v>
      </c>
      <c r="D31" s="78">
        <f t="shared" si="2"/>
        <v>0</v>
      </c>
      <c r="E31" s="74"/>
      <c r="F31" s="74"/>
      <c r="G31" s="54"/>
      <c r="H31" s="74"/>
      <c r="I31" s="74"/>
      <c r="J31" s="74"/>
      <c r="K31" s="67"/>
      <c r="L31" s="67"/>
      <c r="M31" s="67"/>
      <c r="N31" s="67"/>
      <c r="O31" s="67"/>
      <c r="P31" s="67"/>
      <c r="Q31" s="67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16.5" hidden="1" customHeight="1" x14ac:dyDescent="0.3">
      <c r="A32" s="63"/>
      <c r="B32" s="63"/>
      <c r="C32" s="56" t="s">
        <v>37</v>
      </c>
      <c r="D32" s="78">
        <f t="shared" si="2"/>
        <v>0</v>
      </c>
      <c r="E32" s="74"/>
      <c r="F32" s="74"/>
      <c r="G32" s="54"/>
      <c r="H32" s="74"/>
      <c r="I32" s="74"/>
      <c r="J32" s="74"/>
      <c r="K32" s="67"/>
      <c r="L32" s="67"/>
      <c r="M32" s="67"/>
      <c r="N32" s="67"/>
      <c r="O32" s="67"/>
      <c r="P32" s="67"/>
      <c r="Q32" s="67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16.5" hidden="1" customHeight="1" x14ac:dyDescent="0.3">
      <c r="A33" s="63"/>
      <c r="B33" s="63"/>
      <c r="C33" s="56" t="s">
        <v>11</v>
      </c>
      <c r="D33" s="78">
        <f t="shared" si="2"/>
        <v>0</v>
      </c>
      <c r="E33" s="74"/>
      <c r="F33" s="74"/>
      <c r="G33" s="54"/>
      <c r="H33" s="74"/>
      <c r="I33" s="74"/>
      <c r="J33" s="74"/>
      <c r="K33" s="67"/>
      <c r="L33" s="67"/>
      <c r="M33" s="67"/>
      <c r="N33" s="67"/>
      <c r="O33" s="67"/>
      <c r="P33" s="67"/>
      <c r="Q33" s="67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16.5" hidden="1" customHeight="1" x14ac:dyDescent="0.3">
      <c r="A34" s="63"/>
      <c r="B34" s="63"/>
      <c r="C34" s="56" t="s">
        <v>43</v>
      </c>
      <c r="D34" s="78">
        <f t="shared" si="2"/>
        <v>0</v>
      </c>
      <c r="E34" s="74"/>
      <c r="F34" s="74"/>
      <c r="G34" s="54"/>
      <c r="H34" s="74"/>
      <c r="I34" s="74"/>
      <c r="J34" s="74"/>
      <c r="K34" s="67"/>
      <c r="L34" s="67"/>
      <c r="M34" s="67"/>
      <c r="N34" s="67"/>
      <c r="O34" s="67"/>
      <c r="P34" s="67"/>
      <c r="Q34" s="67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16.5" hidden="1" customHeight="1" x14ac:dyDescent="0.3">
      <c r="A35" s="63"/>
      <c r="B35" s="77"/>
      <c r="C35" s="56" t="s">
        <v>20</v>
      </c>
      <c r="D35" s="78">
        <f t="shared" si="2"/>
        <v>0</v>
      </c>
      <c r="E35" s="74"/>
      <c r="F35" s="74"/>
      <c r="G35" s="54"/>
      <c r="H35" s="74"/>
      <c r="I35" s="74"/>
      <c r="J35" s="74"/>
      <c r="K35" s="67"/>
      <c r="L35" s="67"/>
      <c r="M35" s="67"/>
      <c r="N35" s="67"/>
      <c r="O35" s="67"/>
      <c r="P35" s="67"/>
      <c r="Q35" s="67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16.5" hidden="1" customHeight="1" x14ac:dyDescent="0.3">
      <c r="A36" s="63"/>
      <c r="B36" s="57" t="s">
        <v>12</v>
      </c>
      <c r="C36" s="56" t="s">
        <v>49</v>
      </c>
      <c r="D36" s="78">
        <f t="shared" si="2"/>
        <v>0</v>
      </c>
      <c r="E36" s="74"/>
      <c r="F36" s="74"/>
      <c r="G36" s="54"/>
      <c r="H36" s="74"/>
      <c r="I36" s="74"/>
      <c r="J36" s="74"/>
      <c r="K36" s="67"/>
      <c r="L36" s="67"/>
      <c r="M36" s="67"/>
      <c r="N36" s="67"/>
      <c r="O36" s="67"/>
      <c r="P36" s="67"/>
      <c r="Q36" s="67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16.5" hidden="1" customHeight="1" x14ac:dyDescent="0.3">
      <c r="A37" s="63"/>
      <c r="B37" s="63"/>
      <c r="C37" s="56" t="s">
        <v>36</v>
      </c>
      <c r="D37" s="78">
        <f t="shared" si="2"/>
        <v>0</v>
      </c>
      <c r="E37" s="74"/>
      <c r="F37" s="74"/>
      <c r="G37" s="54"/>
      <c r="H37" s="74"/>
      <c r="I37" s="74"/>
      <c r="J37" s="74"/>
      <c r="K37" s="67"/>
      <c r="L37" s="67"/>
      <c r="M37" s="67"/>
      <c r="N37" s="67"/>
      <c r="O37" s="67"/>
      <c r="P37" s="67"/>
      <c r="Q37" s="67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16.5" hidden="1" customHeight="1" x14ac:dyDescent="0.3">
      <c r="A38" s="63"/>
      <c r="B38" s="63"/>
      <c r="C38" s="56" t="s">
        <v>16</v>
      </c>
      <c r="D38" s="78">
        <f t="shared" si="2"/>
        <v>0</v>
      </c>
      <c r="E38" s="74"/>
      <c r="F38" s="74"/>
      <c r="G38" s="54"/>
      <c r="H38" s="74"/>
      <c r="I38" s="74"/>
      <c r="J38" s="74"/>
      <c r="K38" s="67"/>
      <c r="L38" s="67"/>
      <c r="M38" s="67"/>
      <c r="N38" s="67"/>
      <c r="O38" s="67"/>
      <c r="P38" s="67"/>
      <c r="Q38" s="67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16.5" hidden="1" customHeight="1" x14ac:dyDescent="0.3">
      <c r="A39" s="63"/>
      <c r="B39" s="63"/>
      <c r="C39" s="56" t="s">
        <v>33</v>
      </c>
      <c r="D39" s="78">
        <f t="shared" si="2"/>
        <v>0</v>
      </c>
      <c r="E39" s="74"/>
      <c r="F39" s="74"/>
      <c r="G39" s="54"/>
      <c r="H39" s="74"/>
      <c r="I39" s="74"/>
      <c r="J39" s="74"/>
      <c r="K39" s="67"/>
      <c r="L39" s="67"/>
      <c r="M39" s="67"/>
      <c r="N39" s="67"/>
      <c r="O39" s="67"/>
      <c r="P39" s="67"/>
      <c r="Q39" s="67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16.5" hidden="1" customHeight="1" x14ac:dyDescent="0.3">
      <c r="A40" s="63"/>
      <c r="B40" s="77"/>
      <c r="C40" s="56" t="s">
        <v>10</v>
      </c>
      <c r="D40" s="78">
        <f t="shared" si="2"/>
        <v>0</v>
      </c>
      <c r="E40" s="74"/>
      <c r="F40" s="74"/>
      <c r="G40" s="54"/>
      <c r="H40" s="74"/>
      <c r="I40" s="74"/>
      <c r="J40" s="74"/>
      <c r="K40" s="67"/>
      <c r="L40" s="67"/>
      <c r="M40" s="67"/>
      <c r="N40" s="67"/>
      <c r="O40" s="67"/>
      <c r="P40" s="67"/>
      <c r="Q40" s="67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16.5" hidden="1" customHeight="1" x14ac:dyDescent="0.3">
      <c r="A41" s="63"/>
      <c r="B41" s="57" t="s">
        <v>8</v>
      </c>
      <c r="C41" s="56" t="s">
        <v>41</v>
      </c>
      <c r="D41" s="78">
        <f t="shared" si="2"/>
        <v>0</v>
      </c>
      <c r="E41" s="74"/>
      <c r="F41" s="74"/>
      <c r="G41" s="54"/>
      <c r="H41" s="74"/>
      <c r="I41" s="74"/>
      <c r="J41" s="74"/>
      <c r="K41" s="67"/>
      <c r="L41" s="67"/>
      <c r="M41" s="67"/>
      <c r="N41" s="67"/>
      <c r="O41" s="67"/>
      <c r="P41" s="67"/>
      <c r="Q41" s="67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16.5" hidden="1" customHeight="1" x14ac:dyDescent="0.3">
      <c r="A42" s="63"/>
      <c r="B42" s="63"/>
      <c r="C42" s="56" t="s">
        <v>48</v>
      </c>
      <c r="D42" s="78">
        <f t="shared" si="2"/>
        <v>0</v>
      </c>
      <c r="E42" s="74"/>
      <c r="F42" s="74"/>
      <c r="G42" s="54"/>
      <c r="H42" s="74"/>
      <c r="I42" s="74"/>
      <c r="J42" s="74"/>
      <c r="K42" s="67"/>
      <c r="L42" s="67"/>
      <c r="M42" s="67"/>
      <c r="N42" s="67"/>
      <c r="O42" s="67"/>
      <c r="P42" s="67"/>
      <c r="Q42" s="67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16.5" hidden="1" customHeight="1" x14ac:dyDescent="0.3">
      <c r="A43" s="63"/>
      <c r="B43" s="63"/>
      <c r="C43" s="56" t="s">
        <v>45</v>
      </c>
      <c r="D43" s="78">
        <f t="shared" si="2"/>
        <v>0</v>
      </c>
      <c r="E43" s="74"/>
      <c r="F43" s="74"/>
      <c r="G43" s="54"/>
      <c r="H43" s="74"/>
      <c r="I43" s="74"/>
      <c r="J43" s="74"/>
      <c r="K43" s="67"/>
      <c r="L43" s="67"/>
      <c r="M43" s="67"/>
      <c r="N43" s="67"/>
      <c r="O43" s="67"/>
      <c r="P43" s="67"/>
      <c r="Q43" s="67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16.5" hidden="1" customHeight="1" x14ac:dyDescent="0.3">
      <c r="A44" s="63"/>
      <c r="B44" s="63"/>
      <c r="C44" s="56" t="s">
        <v>51</v>
      </c>
      <c r="D44" s="78">
        <f t="shared" si="2"/>
        <v>0</v>
      </c>
      <c r="E44" s="74"/>
      <c r="F44" s="74"/>
      <c r="G44" s="54"/>
      <c r="H44" s="74"/>
      <c r="I44" s="74"/>
      <c r="J44" s="74"/>
      <c r="K44" s="67"/>
      <c r="L44" s="67"/>
      <c r="M44" s="67"/>
      <c r="N44" s="67"/>
      <c r="O44" s="67"/>
      <c r="P44" s="67"/>
      <c r="Q44" s="67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36" ht="16.5" hidden="1" customHeight="1" x14ac:dyDescent="0.3">
      <c r="A45" s="63"/>
      <c r="B45" s="63"/>
      <c r="C45" s="56" t="s">
        <v>42</v>
      </c>
      <c r="D45" s="78">
        <f t="shared" si="2"/>
        <v>0</v>
      </c>
      <c r="E45" s="74"/>
      <c r="F45" s="74"/>
      <c r="G45" s="54"/>
      <c r="H45" s="74"/>
      <c r="I45" s="74"/>
      <c r="J45" s="74"/>
      <c r="K45" s="67"/>
      <c r="L45" s="67"/>
      <c r="M45" s="67"/>
      <c r="N45" s="67"/>
      <c r="O45" s="67"/>
      <c r="P45" s="67"/>
      <c r="Q45" s="67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36" ht="16.5" hidden="1" customHeight="1" x14ac:dyDescent="0.3">
      <c r="A46" s="63"/>
      <c r="B46" s="77"/>
      <c r="C46" s="56" t="s">
        <v>29</v>
      </c>
      <c r="D46" s="78">
        <f t="shared" si="2"/>
        <v>0</v>
      </c>
      <c r="E46" s="74"/>
      <c r="F46" s="74"/>
      <c r="G46" s="54"/>
      <c r="H46" s="74"/>
      <c r="I46" s="74"/>
      <c r="J46" s="74"/>
      <c r="K46" s="67"/>
      <c r="L46" s="67"/>
      <c r="M46" s="67"/>
      <c r="N46" s="67"/>
      <c r="O46" s="67"/>
      <c r="P46" s="67"/>
      <c r="Q46" s="67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</row>
    <row r="47" spans="1:36" x14ac:dyDescent="0.3">
      <c r="A47" s="63"/>
      <c r="B47" s="57" t="s">
        <v>6</v>
      </c>
      <c r="C47" s="80" t="s">
        <v>32</v>
      </c>
      <c r="D47" s="78">
        <f>SUM(E47:AH47)</f>
        <v>0</v>
      </c>
      <c r="E47" s="74"/>
      <c r="F47" s="74"/>
      <c r="G47" s="91"/>
      <c r="H47" s="74"/>
      <c r="I47" s="74"/>
      <c r="J47" s="74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36" x14ac:dyDescent="0.3">
      <c r="A48" s="77"/>
      <c r="B48" s="77"/>
      <c r="C48" s="80" t="s">
        <v>14</v>
      </c>
      <c r="D48" s="78">
        <f>SUM(E48:AH48)</f>
        <v>43692</v>
      </c>
      <c r="E48" s="74">
        <f>150+1220</f>
        <v>1370</v>
      </c>
      <c r="F48" s="74">
        <f>620+87</f>
        <v>707</v>
      </c>
      <c r="G48" s="74">
        <f>1130+1100</f>
        <v>2230</v>
      </c>
      <c r="H48" s="74">
        <f>1048+250</f>
        <v>1298</v>
      </c>
      <c r="I48" s="74">
        <f>250+830</f>
        <v>1080</v>
      </c>
      <c r="J48" s="74">
        <f>840+830</f>
        <v>1670</v>
      </c>
      <c r="K48" s="67">
        <f>984+1100</f>
        <v>2084</v>
      </c>
      <c r="L48" s="67">
        <f>1048+750</f>
        <v>1798</v>
      </c>
      <c r="M48" s="67">
        <f>250+660</f>
        <v>910</v>
      </c>
      <c r="N48" s="67">
        <f>940+360</f>
        <v>1300</v>
      </c>
      <c r="O48" s="67">
        <f>830+1100</f>
        <v>1930</v>
      </c>
      <c r="P48" s="67">
        <f>1048+450</f>
        <v>1498</v>
      </c>
      <c r="Q48" s="67">
        <f>250+1150</f>
        <v>1400</v>
      </c>
      <c r="R48" s="69">
        <f>1440+740</f>
        <v>2180</v>
      </c>
      <c r="S48" s="69">
        <f>730+1100</f>
        <v>1830</v>
      </c>
      <c r="T48" s="69">
        <v>1048</v>
      </c>
      <c r="U48" s="69">
        <v>825</v>
      </c>
      <c r="V48" s="69">
        <v>1780</v>
      </c>
      <c r="W48" s="69">
        <v>1970</v>
      </c>
      <c r="X48" s="69">
        <v>1498</v>
      </c>
      <c r="Y48" s="69">
        <v>1030</v>
      </c>
      <c r="Z48" s="69">
        <v>1240</v>
      </c>
      <c r="AA48" s="69">
        <v>1790</v>
      </c>
      <c r="AB48" s="69">
        <v>1398</v>
      </c>
      <c r="AC48" s="69">
        <v>970</v>
      </c>
      <c r="AD48" s="69">
        <v>1920</v>
      </c>
      <c r="AE48" s="69">
        <v>930</v>
      </c>
      <c r="AF48" s="69">
        <v>1578</v>
      </c>
      <c r="AG48" s="69">
        <v>970</v>
      </c>
      <c r="AH48" s="69">
        <v>1460</v>
      </c>
      <c r="AI48" s="69"/>
      <c r="AJ48" s="69">
        <v>1540</v>
      </c>
    </row>
    <row r="49" spans="1:36" ht="16.5" customHeight="1" x14ac:dyDescent="0.3">
      <c r="A49" s="50" t="s">
        <v>4</v>
      </c>
      <c r="B49" s="51"/>
      <c r="C49" s="52"/>
      <c r="D49" s="78">
        <f>SUM(E49:AH49)</f>
        <v>43692</v>
      </c>
      <c r="E49" s="92">
        <f>SUM(E48)</f>
        <v>1370</v>
      </c>
      <c r="F49" s="92">
        <f t="shared" ref="F49:AJ49" si="3">SUM(F48)</f>
        <v>707</v>
      </c>
      <c r="G49" s="92">
        <f t="shared" si="3"/>
        <v>2230</v>
      </c>
      <c r="H49" s="92">
        <f t="shared" si="3"/>
        <v>1298</v>
      </c>
      <c r="I49" s="92">
        <f t="shared" si="3"/>
        <v>1080</v>
      </c>
      <c r="J49" s="92">
        <f t="shared" si="3"/>
        <v>1670</v>
      </c>
      <c r="K49" s="93">
        <f t="shared" si="3"/>
        <v>2084</v>
      </c>
      <c r="L49" s="93">
        <f t="shared" si="3"/>
        <v>1798</v>
      </c>
      <c r="M49" s="93">
        <f t="shared" si="3"/>
        <v>910</v>
      </c>
      <c r="N49" s="93">
        <f t="shared" si="3"/>
        <v>1300</v>
      </c>
      <c r="O49" s="93">
        <f t="shared" si="3"/>
        <v>1930</v>
      </c>
      <c r="P49" s="93">
        <f t="shared" si="3"/>
        <v>1498</v>
      </c>
      <c r="Q49" s="93">
        <f t="shared" si="3"/>
        <v>1400</v>
      </c>
      <c r="R49" s="93">
        <f t="shared" si="3"/>
        <v>2180</v>
      </c>
      <c r="S49" s="93">
        <f t="shared" si="3"/>
        <v>1830</v>
      </c>
      <c r="T49" s="93">
        <f t="shared" si="3"/>
        <v>1048</v>
      </c>
      <c r="U49" s="93">
        <f t="shared" si="3"/>
        <v>825</v>
      </c>
      <c r="V49" s="93">
        <f t="shared" si="3"/>
        <v>1780</v>
      </c>
      <c r="W49" s="93">
        <f t="shared" si="3"/>
        <v>1970</v>
      </c>
      <c r="X49" s="93">
        <f t="shared" si="3"/>
        <v>1498</v>
      </c>
      <c r="Y49" s="93">
        <f t="shared" si="3"/>
        <v>1030</v>
      </c>
      <c r="Z49" s="93">
        <f t="shared" si="3"/>
        <v>1240</v>
      </c>
      <c r="AA49" s="93">
        <f t="shared" si="3"/>
        <v>1790</v>
      </c>
      <c r="AB49" s="93">
        <f t="shared" si="3"/>
        <v>1398</v>
      </c>
      <c r="AC49" s="93">
        <f t="shared" si="3"/>
        <v>970</v>
      </c>
      <c r="AD49" s="93">
        <f t="shared" si="3"/>
        <v>1920</v>
      </c>
      <c r="AE49" s="93">
        <f t="shared" si="3"/>
        <v>930</v>
      </c>
      <c r="AF49" s="93">
        <f t="shared" si="3"/>
        <v>1578</v>
      </c>
      <c r="AG49" s="93">
        <f t="shared" si="3"/>
        <v>970</v>
      </c>
      <c r="AH49" s="93">
        <f t="shared" si="3"/>
        <v>1460</v>
      </c>
      <c r="AI49" s="93">
        <f t="shared" si="3"/>
        <v>0</v>
      </c>
      <c r="AJ49" s="93">
        <f t="shared" si="3"/>
        <v>1540</v>
      </c>
    </row>
    <row r="50" spans="1:36" ht="16.5" customHeight="1" x14ac:dyDescent="0.3">
      <c r="A50" s="82" t="s">
        <v>87</v>
      </c>
      <c r="B50" s="83"/>
      <c r="C50" s="84"/>
      <c r="D50" s="86">
        <f>SUM(E50:AH50)</f>
        <v>231044</v>
      </c>
      <c r="E50" s="86">
        <f>SUM(E24:E48)</f>
        <v>6291</v>
      </c>
      <c r="F50" s="86">
        <f t="shared" ref="F50:AJ50" si="4">SUM(F24:F48)</f>
        <v>6437</v>
      </c>
      <c r="G50" s="86">
        <f t="shared" si="4"/>
        <v>8256</v>
      </c>
      <c r="H50" s="86">
        <f t="shared" si="4"/>
        <v>7202</v>
      </c>
      <c r="I50" s="86">
        <f t="shared" si="4"/>
        <v>7870</v>
      </c>
      <c r="J50" s="86">
        <f t="shared" si="4"/>
        <v>8424</v>
      </c>
      <c r="K50" s="85">
        <f t="shared" si="4"/>
        <v>9950</v>
      </c>
      <c r="L50" s="85">
        <f t="shared" si="4"/>
        <v>8252</v>
      </c>
      <c r="M50" s="85">
        <f t="shared" si="4"/>
        <v>7000</v>
      </c>
      <c r="N50" s="85">
        <f t="shared" si="4"/>
        <v>7220</v>
      </c>
      <c r="O50" s="85">
        <f t="shared" si="4"/>
        <v>7512</v>
      </c>
      <c r="P50" s="85">
        <f t="shared" si="4"/>
        <v>7282</v>
      </c>
      <c r="Q50" s="85">
        <f t="shared" si="4"/>
        <v>9960</v>
      </c>
      <c r="R50" s="85">
        <f t="shared" si="4"/>
        <v>11710</v>
      </c>
      <c r="S50" s="85">
        <f t="shared" si="4"/>
        <v>7422</v>
      </c>
      <c r="T50" s="85">
        <f t="shared" si="4"/>
        <v>6832</v>
      </c>
      <c r="U50" s="85">
        <f t="shared" si="4"/>
        <v>7445</v>
      </c>
      <c r="V50" s="85">
        <f t="shared" si="4"/>
        <v>9764</v>
      </c>
      <c r="W50" s="85">
        <f t="shared" si="4"/>
        <v>8219</v>
      </c>
      <c r="X50" s="85">
        <f t="shared" si="4"/>
        <v>5792</v>
      </c>
      <c r="Y50" s="85">
        <f t="shared" si="4"/>
        <v>8680</v>
      </c>
      <c r="Z50" s="85">
        <f t="shared" si="4"/>
        <v>7951</v>
      </c>
      <c r="AA50" s="85">
        <f t="shared" si="4"/>
        <v>7492</v>
      </c>
      <c r="AB50" s="85">
        <f t="shared" si="4"/>
        <v>6382</v>
      </c>
      <c r="AC50" s="85">
        <f t="shared" si="4"/>
        <v>7570</v>
      </c>
      <c r="AD50" s="85">
        <f t="shared" si="4"/>
        <v>9762</v>
      </c>
      <c r="AE50" s="85">
        <f t="shared" si="4"/>
        <v>3177</v>
      </c>
      <c r="AF50" s="85">
        <f t="shared" si="4"/>
        <v>5085</v>
      </c>
      <c r="AG50" s="85">
        <f t="shared" si="4"/>
        <v>7770</v>
      </c>
      <c r="AH50" s="85">
        <f t="shared" si="4"/>
        <v>8335</v>
      </c>
      <c r="AI50" s="85">
        <f t="shared" si="4"/>
        <v>0</v>
      </c>
      <c r="AJ50" s="85">
        <f t="shared" si="4"/>
        <v>7497</v>
      </c>
    </row>
  </sheetData>
  <mergeCells count="32">
    <mergeCell ref="A49:C49"/>
    <mergeCell ref="A50:C50"/>
    <mergeCell ref="B22:C22"/>
    <mergeCell ref="B23:C23"/>
    <mergeCell ref="A24:C24"/>
    <mergeCell ref="A25:A48"/>
    <mergeCell ref="B25:B35"/>
    <mergeCell ref="B36:B40"/>
    <mergeCell ref="B41:B46"/>
    <mergeCell ref="B47:B48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D1:O2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zoomScale="70" zoomScaleNormal="70" workbookViewId="0">
      <pane xSplit="4" topLeftCell="T1" activePane="topRight" state="frozen"/>
      <selection pane="topRight" activeCell="AC31" sqref="AC31"/>
    </sheetView>
  </sheetViews>
  <sheetFormatPr defaultColWidth="9" defaultRowHeight="16.5" x14ac:dyDescent="0.3"/>
  <cols>
    <col min="1" max="1" width="20.25" style="44" bestFit="1" customWidth="1"/>
    <col min="2" max="2" width="7.375" style="44" customWidth="1"/>
    <col min="3" max="3" width="20.25" style="44" bestFit="1" customWidth="1"/>
    <col min="4" max="4" width="10.375" style="116" customWidth="1"/>
    <col min="5" max="32" width="9.125" style="44" customWidth="1"/>
    <col min="33" max="16384" width="9" style="44"/>
  </cols>
  <sheetData>
    <row r="1" spans="1:35" ht="34.5" customHeight="1" x14ac:dyDescent="0.3">
      <c r="A1" s="94" t="s">
        <v>101</v>
      </c>
      <c r="B1" s="94"/>
      <c r="C1" s="94"/>
      <c r="D1" s="94"/>
      <c r="H1" s="95"/>
      <c r="I1" s="95"/>
      <c r="J1" s="95"/>
      <c r="K1" s="95"/>
      <c r="L1" s="95"/>
      <c r="M1" s="95"/>
    </row>
    <row r="2" spans="1:35" ht="14.25" customHeight="1" x14ac:dyDescent="0.3">
      <c r="A2" s="47"/>
      <c r="B2" s="48"/>
      <c r="C2" s="48"/>
      <c r="D2" s="96"/>
      <c r="E2" s="48"/>
      <c r="F2" s="48"/>
      <c r="G2" s="48"/>
      <c r="H2" s="49"/>
      <c r="I2" s="49"/>
      <c r="J2" s="49"/>
      <c r="K2" s="49"/>
      <c r="L2" s="49"/>
      <c r="M2" s="49"/>
      <c r="N2" s="48"/>
      <c r="O2" s="48"/>
      <c r="P2" s="48"/>
      <c r="Q2" s="48"/>
      <c r="R2" s="48"/>
      <c r="S2" s="48"/>
    </row>
    <row r="3" spans="1:35" ht="16.5" customHeight="1" x14ac:dyDescent="0.3">
      <c r="A3" s="97" t="s">
        <v>19</v>
      </c>
      <c r="B3" s="97"/>
      <c r="C3" s="97"/>
      <c r="D3" s="98" t="s">
        <v>5</v>
      </c>
      <c r="E3" s="99">
        <v>1</v>
      </c>
      <c r="F3" s="99">
        <v>2</v>
      </c>
      <c r="G3" s="99">
        <v>3</v>
      </c>
      <c r="H3" s="99">
        <v>4</v>
      </c>
      <c r="I3" s="99">
        <v>5</v>
      </c>
      <c r="J3" s="99">
        <v>6</v>
      </c>
      <c r="K3" s="99">
        <v>7</v>
      </c>
      <c r="L3" s="99">
        <v>8</v>
      </c>
      <c r="M3" s="99">
        <v>9</v>
      </c>
      <c r="N3" s="99">
        <v>10</v>
      </c>
      <c r="O3" s="99">
        <v>11</v>
      </c>
      <c r="P3" s="99">
        <v>12</v>
      </c>
      <c r="Q3" s="99">
        <v>13</v>
      </c>
      <c r="R3" s="99">
        <v>14</v>
      </c>
      <c r="S3" s="99">
        <v>15</v>
      </c>
      <c r="T3" s="99">
        <v>16</v>
      </c>
      <c r="U3" s="99">
        <v>17</v>
      </c>
      <c r="V3" s="99">
        <v>18</v>
      </c>
      <c r="W3" s="99">
        <v>19</v>
      </c>
      <c r="X3" s="99">
        <v>20</v>
      </c>
      <c r="Y3" s="99">
        <v>21</v>
      </c>
      <c r="Z3" s="99">
        <v>22</v>
      </c>
      <c r="AA3" s="99">
        <v>23</v>
      </c>
      <c r="AB3" s="99">
        <v>24</v>
      </c>
      <c r="AC3" s="99">
        <v>25</v>
      </c>
      <c r="AD3" s="99">
        <v>26</v>
      </c>
      <c r="AE3" s="99">
        <v>27</v>
      </c>
      <c r="AF3" s="99">
        <v>28</v>
      </c>
      <c r="AG3" s="99">
        <v>29</v>
      </c>
      <c r="AH3" s="99">
        <v>30</v>
      </c>
      <c r="AI3" s="99" t="s">
        <v>102</v>
      </c>
    </row>
    <row r="4" spans="1:35" ht="16.5" customHeight="1" x14ac:dyDescent="0.3">
      <c r="A4" s="97" t="s">
        <v>18</v>
      </c>
      <c r="B4" s="97"/>
      <c r="C4" s="97"/>
      <c r="D4" s="98"/>
      <c r="E4" s="56" t="s">
        <v>103</v>
      </c>
      <c r="F4" s="56" t="s">
        <v>59</v>
      </c>
      <c r="G4" s="56" t="s">
        <v>60</v>
      </c>
      <c r="H4" s="56" t="s">
        <v>54</v>
      </c>
      <c r="I4" s="56" t="s">
        <v>55</v>
      </c>
      <c r="J4" s="56" t="s">
        <v>56</v>
      </c>
      <c r="K4" s="56" t="s">
        <v>57</v>
      </c>
      <c r="L4" s="56" t="s">
        <v>103</v>
      </c>
      <c r="M4" s="56" t="s">
        <v>59</v>
      </c>
      <c r="N4" s="56" t="s">
        <v>60</v>
      </c>
      <c r="O4" s="56" t="s">
        <v>54</v>
      </c>
      <c r="P4" s="56" t="s">
        <v>55</v>
      </c>
      <c r="Q4" s="56" t="s">
        <v>56</v>
      </c>
      <c r="R4" s="56" t="s">
        <v>57</v>
      </c>
      <c r="S4" s="56" t="s">
        <v>103</v>
      </c>
      <c r="T4" s="56" t="s">
        <v>59</v>
      </c>
      <c r="U4" s="56" t="s">
        <v>60</v>
      </c>
      <c r="V4" s="56" t="s">
        <v>54</v>
      </c>
      <c r="W4" s="56" t="s">
        <v>55</v>
      </c>
      <c r="X4" s="56" t="s">
        <v>56</v>
      </c>
      <c r="Y4" s="56" t="s">
        <v>57</v>
      </c>
      <c r="Z4" s="56" t="s">
        <v>103</v>
      </c>
      <c r="AA4" s="56" t="s">
        <v>59</v>
      </c>
      <c r="AB4" s="56" t="s">
        <v>60</v>
      </c>
      <c r="AC4" s="56" t="s">
        <v>54</v>
      </c>
      <c r="AD4" s="56" t="s">
        <v>55</v>
      </c>
      <c r="AE4" s="56" t="s">
        <v>56</v>
      </c>
      <c r="AF4" s="56" t="s">
        <v>57</v>
      </c>
      <c r="AG4" s="56" t="s">
        <v>103</v>
      </c>
      <c r="AH4" s="56" t="s">
        <v>59</v>
      </c>
      <c r="AI4" s="56" t="s">
        <v>102</v>
      </c>
    </row>
    <row r="5" spans="1:35" ht="16.5" customHeight="1" x14ac:dyDescent="0.3">
      <c r="A5" s="100" t="s">
        <v>31</v>
      </c>
      <c r="B5" s="100" t="s">
        <v>30</v>
      </c>
      <c r="C5" s="100"/>
      <c r="D5" s="101"/>
      <c r="E5" s="102" t="s">
        <v>104</v>
      </c>
      <c r="F5" s="61" t="s">
        <v>105</v>
      </c>
      <c r="G5" s="61" t="s">
        <v>106</v>
      </c>
      <c r="H5" s="61" t="s">
        <v>107</v>
      </c>
      <c r="I5" s="61" t="s">
        <v>108</v>
      </c>
      <c r="J5" s="61" t="s">
        <v>108</v>
      </c>
      <c r="K5" s="61" t="s">
        <v>108</v>
      </c>
      <c r="L5" s="61" t="s">
        <v>108</v>
      </c>
      <c r="M5" s="61" t="s">
        <v>108</v>
      </c>
      <c r="N5" s="61" t="s">
        <v>108</v>
      </c>
      <c r="O5" s="61" t="s">
        <v>108</v>
      </c>
      <c r="P5" s="61" t="s">
        <v>109</v>
      </c>
      <c r="Q5" s="61" t="s">
        <v>108</v>
      </c>
      <c r="R5" s="61" t="s">
        <v>108</v>
      </c>
      <c r="S5" s="61" t="s">
        <v>108</v>
      </c>
      <c r="T5" s="102" t="s">
        <v>110</v>
      </c>
      <c r="U5" s="102" t="s">
        <v>104</v>
      </c>
      <c r="V5" s="102" t="s">
        <v>104</v>
      </c>
      <c r="W5" s="102" t="s">
        <v>104</v>
      </c>
      <c r="X5" s="102" t="s">
        <v>104</v>
      </c>
      <c r="Y5" s="102" t="s">
        <v>111</v>
      </c>
      <c r="Z5" s="102" t="s">
        <v>104</v>
      </c>
      <c r="AA5" s="102" t="s">
        <v>104</v>
      </c>
      <c r="AB5" s="102" t="s">
        <v>112</v>
      </c>
      <c r="AC5" s="102" t="s">
        <v>104</v>
      </c>
      <c r="AD5" s="102" t="s">
        <v>104</v>
      </c>
      <c r="AE5" s="102" t="s">
        <v>113</v>
      </c>
      <c r="AF5" s="102" t="s">
        <v>112</v>
      </c>
      <c r="AG5" s="102" t="s">
        <v>114</v>
      </c>
      <c r="AH5" s="102" t="s">
        <v>115</v>
      </c>
      <c r="AI5" s="102"/>
    </row>
    <row r="6" spans="1:35" ht="16.5" customHeight="1" x14ac:dyDescent="0.3">
      <c r="A6" s="100"/>
      <c r="B6" s="103" t="s">
        <v>21</v>
      </c>
      <c r="C6" s="103"/>
      <c r="D6" s="104">
        <f>SUM(E6:AH6)</f>
        <v>2020</v>
      </c>
      <c r="E6" s="67">
        <v>0</v>
      </c>
      <c r="F6" s="67">
        <v>0</v>
      </c>
      <c r="G6" s="67">
        <v>0</v>
      </c>
      <c r="H6" s="67">
        <v>120</v>
      </c>
      <c r="I6" s="67">
        <v>0</v>
      </c>
      <c r="J6" s="67">
        <v>100</v>
      </c>
      <c r="K6" s="67">
        <v>0</v>
      </c>
      <c r="L6" s="67">
        <v>120</v>
      </c>
      <c r="M6" s="67">
        <v>0</v>
      </c>
      <c r="N6" s="67">
        <v>100</v>
      </c>
      <c r="O6" s="68">
        <v>0</v>
      </c>
      <c r="P6" s="67">
        <v>100</v>
      </c>
      <c r="Q6" s="67">
        <v>0</v>
      </c>
      <c r="R6" s="69">
        <v>100</v>
      </c>
      <c r="S6" s="69">
        <v>0</v>
      </c>
      <c r="T6" s="105">
        <v>300</v>
      </c>
      <c r="U6" s="105">
        <v>0</v>
      </c>
      <c r="V6" s="105">
        <v>100</v>
      </c>
      <c r="W6" s="105">
        <v>0</v>
      </c>
      <c r="X6" s="105">
        <v>170</v>
      </c>
      <c r="Y6" s="105">
        <v>0</v>
      </c>
      <c r="Z6" s="105">
        <v>100</v>
      </c>
      <c r="AA6" s="105">
        <v>0</v>
      </c>
      <c r="AB6" s="105">
        <v>300</v>
      </c>
      <c r="AC6" s="105">
        <v>0</v>
      </c>
      <c r="AD6" s="105">
        <v>100</v>
      </c>
      <c r="AE6" s="105">
        <v>0</v>
      </c>
      <c r="AF6" s="105">
        <v>210</v>
      </c>
      <c r="AG6" s="105">
        <v>0</v>
      </c>
      <c r="AH6" s="105">
        <v>100</v>
      </c>
      <c r="AI6" s="105"/>
    </row>
    <row r="7" spans="1:35" ht="16.5" customHeight="1" x14ac:dyDescent="0.3">
      <c r="A7" s="100"/>
      <c r="B7" s="103" t="s">
        <v>22</v>
      </c>
      <c r="C7" s="103"/>
      <c r="D7" s="104">
        <f t="shared" ref="D7:D24" si="0">SUM(E7:AH7)</f>
        <v>41099</v>
      </c>
      <c r="E7" s="67">
        <v>650</v>
      </c>
      <c r="F7" s="67">
        <v>980</v>
      </c>
      <c r="G7" s="67">
        <v>370</v>
      </c>
      <c r="H7" s="67">
        <v>853</v>
      </c>
      <c r="I7" s="67">
        <v>650</v>
      </c>
      <c r="J7" s="67">
        <v>1100</v>
      </c>
      <c r="K7" s="67">
        <v>1250</v>
      </c>
      <c r="L7" s="67">
        <v>1033</v>
      </c>
      <c r="M7" s="67">
        <v>850</v>
      </c>
      <c r="N7" s="67">
        <v>2100</v>
      </c>
      <c r="O7" s="67">
        <v>4160</v>
      </c>
      <c r="P7" s="67">
        <v>423</v>
      </c>
      <c r="Q7" s="67">
        <v>600</v>
      </c>
      <c r="R7" s="69">
        <v>2000</v>
      </c>
      <c r="S7" s="69">
        <v>1360</v>
      </c>
      <c r="T7" s="105">
        <v>1430</v>
      </c>
      <c r="U7" s="105">
        <v>1300</v>
      </c>
      <c r="V7" s="105">
        <v>2500</v>
      </c>
      <c r="W7" s="105">
        <v>2240</v>
      </c>
      <c r="X7" s="105">
        <v>1663</v>
      </c>
      <c r="Y7" s="105">
        <v>600</v>
      </c>
      <c r="Z7" s="105">
        <v>1900</v>
      </c>
      <c r="AA7" s="105">
        <v>1150</v>
      </c>
      <c r="AB7" s="105">
        <v>2223</v>
      </c>
      <c r="AC7" s="105">
        <v>2450</v>
      </c>
      <c r="AD7" s="105">
        <v>1900</v>
      </c>
      <c r="AE7" s="105">
        <v>1100</v>
      </c>
      <c r="AF7" s="105">
        <v>164</v>
      </c>
      <c r="AG7" s="105">
        <v>600</v>
      </c>
      <c r="AH7" s="105">
        <v>1500</v>
      </c>
      <c r="AI7" s="105"/>
    </row>
    <row r="8" spans="1:35" ht="16.5" customHeight="1" x14ac:dyDescent="0.3">
      <c r="A8" s="100"/>
      <c r="B8" s="103" t="s">
        <v>24</v>
      </c>
      <c r="C8" s="103"/>
      <c r="D8" s="104">
        <f t="shared" si="0"/>
        <v>48128</v>
      </c>
      <c r="E8" s="67">
        <v>1306</v>
      </c>
      <c r="F8" s="67">
        <v>1300</v>
      </c>
      <c r="G8" s="67">
        <v>1080</v>
      </c>
      <c r="H8" s="67">
        <v>1810</v>
      </c>
      <c r="I8" s="67">
        <v>1266</v>
      </c>
      <c r="J8" s="67">
        <v>880</v>
      </c>
      <c r="K8" s="67">
        <v>1600</v>
      </c>
      <c r="L8" s="67">
        <v>1700</v>
      </c>
      <c r="M8" s="67">
        <v>1386</v>
      </c>
      <c r="N8" s="67">
        <v>1680</v>
      </c>
      <c r="O8" s="67">
        <v>3450</v>
      </c>
      <c r="P8" s="67">
        <v>400</v>
      </c>
      <c r="Q8" s="67">
        <v>1386</v>
      </c>
      <c r="R8" s="69">
        <v>680</v>
      </c>
      <c r="S8" s="69">
        <v>2350</v>
      </c>
      <c r="T8" s="106">
        <v>1520</v>
      </c>
      <c r="U8" s="106">
        <v>1686</v>
      </c>
      <c r="V8" s="106">
        <v>1690</v>
      </c>
      <c r="W8" s="106">
        <v>2050</v>
      </c>
      <c r="X8" s="106">
        <v>1880</v>
      </c>
      <c r="Y8" s="106">
        <v>1686</v>
      </c>
      <c r="Z8" s="106">
        <v>790</v>
      </c>
      <c r="AA8" s="106">
        <v>2250</v>
      </c>
      <c r="AB8" s="106">
        <v>2440</v>
      </c>
      <c r="AC8" s="106">
        <v>2656</v>
      </c>
      <c r="AD8" s="106">
        <v>690</v>
      </c>
      <c r="AE8" s="106">
        <v>1830</v>
      </c>
      <c r="AF8" s="106">
        <v>2390</v>
      </c>
      <c r="AG8" s="105">
        <v>1406</v>
      </c>
      <c r="AH8" s="105">
        <v>890</v>
      </c>
      <c r="AI8" s="105"/>
    </row>
    <row r="9" spans="1:35" ht="16.5" customHeight="1" x14ac:dyDescent="0.3">
      <c r="A9" s="100"/>
      <c r="B9" s="103" t="s">
        <v>28</v>
      </c>
      <c r="C9" s="103"/>
      <c r="D9" s="104">
        <f t="shared" si="0"/>
        <v>43068</v>
      </c>
      <c r="E9" s="67">
        <f>766+700</f>
        <v>1466</v>
      </c>
      <c r="F9" s="67">
        <f>1030+390</f>
        <v>1420</v>
      </c>
      <c r="G9" s="67">
        <f>200+130</f>
        <v>330</v>
      </c>
      <c r="H9" s="67">
        <f>1250+590</f>
        <v>1840</v>
      </c>
      <c r="I9" s="67">
        <f>686+650</f>
        <v>1336</v>
      </c>
      <c r="J9" s="67">
        <f>450+930</f>
        <v>1380</v>
      </c>
      <c r="K9" s="67">
        <f>330+630</f>
        <v>960</v>
      </c>
      <c r="L9" s="67">
        <f>610+585</f>
        <v>1195</v>
      </c>
      <c r="M9" s="67">
        <f>850+686</f>
        <v>1536</v>
      </c>
      <c r="N9" s="67">
        <f>1730+480</f>
        <v>2210</v>
      </c>
      <c r="O9" s="67">
        <f>480+1660</f>
        <v>2140</v>
      </c>
      <c r="P9" s="67">
        <f>260+265</f>
        <v>525</v>
      </c>
      <c r="Q9" s="67">
        <f>686+600</f>
        <v>1286</v>
      </c>
      <c r="R9" s="69">
        <f>830+450</f>
        <v>1280</v>
      </c>
      <c r="S9" s="69">
        <f>340+560</f>
        <v>900</v>
      </c>
      <c r="T9" s="106">
        <v>1330</v>
      </c>
      <c r="U9" s="106">
        <v>1886</v>
      </c>
      <c r="V9" s="106">
        <v>2310</v>
      </c>
      <c r="W9" s="106">
        <v>1030</v>
      </c>
      <c r="X9" s="106">
        <v>1085</v>
      </c>
      <c r="Y9" s="106">
        <v>1286</v>
      </c>
      <c r="Z9" s="106">
        <v>1470</v>
      </c>
      <c r="AA9" s="106">
        <v>920</v>
      </c>
      <c r="AB9" s="106">
        <v>2565</v>
      </c>
      <c r="AC9" s="106">
        <v>3276</v>
      </c>
      <c r="AD9" s="106">
        <v>1430</v>
      </c>
      <c r="AE9" s="106">
        <v>800</v>
      </c>
      <c r="AF9" s="106">
        <v>1185</v>
      </c>
      <c r="AG9" s="106">
        <v>1151</v>
      </c>
      <c r="AH9" s="106">
        <v>1540</v>
      </c>
      <c r="AI9" s="106"/>
    </row>
    <row r="10" spans="1:35" ht="16.5" customHeight="1" x14ac:dyDescent="0.3">
      <c r="A10" s="100"/>
      <c r="B10" s="107" t="s">
        <v>17</v>
      </c>
      <c r="C10" s="107"/>
      <c r="D10" s="104">
        <f t="shared" si="0"/>
        <v>0</v>
      </c>
      <c r="E10" s="106"/>
      <c r="F10" s="67"/>
      <c r="G10" s="106"/>
      <c r="H10" s="106"/>
      <c r="I10" s="67"/>
      <c r="J10" s="106"/>
      <c r="K10" s="106"/>
      <c r="L10" s="106"/>
      <c r="M10" s="106"/>
      <c r="N10" s="67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</row>
    <row r="11" spans="1:35" ht="16.5" customHeight="1" x14ac:dyDescent="0.3">
      <c r="A11" s="100"/>
      <c r="B11" s="107" t="s">
        <v>38</v>
      </c>
      <c r="C11" s="107"/>
      <c r="D11" s="104">
        <f t="shared" si="0"/>
        <v>0</v>
      </c>
      <c r="E11" s="106"/>
      <c r="F11" s="67"/>
      <c r="G11" s="106"/>
      <c r="H11" s="106"/>
      <c r="I11" s="67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</row>
    <row r="12" spans="1:35" ht="16.5" customHeight="1" x14ac:dyDescent="0.3">
      <c r="A12" s="100"/>
      <c r="B12" s="107" t="s">
        <v>116</v>
      </c>
      <c r="C12" s="107"/>
      <c r="D12" s="104">
        <f t="shared" si="0"/>
        <v>0</v>
      </c>
      <c r="E12" s="106"/>
      <c r="F12" s="67"/>
      <c r="G12" s="106"/>
      <c r="H12" s="106"/>
      <c r="I12" s="67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5" ht="16.5" customHeight="1" x14ac:dyDescent="0.3">
      <c r="A13" s="100"/>
      <c r="B13" s="107" t="s">
        <v>46</v>
      </c>
      <c r="C13" s="107"/>
      <c r="D13" s="104">
        <f t="shared" si="0"/>
        <v>0</v>
      </c>
      <c r="E13" s="106"/>
      <c r="F13" s="67"/>
      <c r="G13" s="106"/>
      <c r="H13" s="106"/>
      <c r="I13" s="67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</row>
    <row r="14" spans="1:35" ht="16.5" customHeight="1" x14ac:dyDescent="0.3">
      <c r="A14" s="100"/>
      <c r="B14" s="107" t="s">
        <v>3</v>
      </c>
      <c r="C14" s="107"/>
      <c r="D14" s="104">
        <f t="shared" si="0"/>
        <v>0</v>
      </c>
      <c r="E14" s="106"/>
      <c r="F14" s="67"/>
      <c r="G14" s="106"/>
      <c r="H14" s="106"/>
      <c r="I14" s="67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</row>
    <row r="15" spans="1:35" ht="16.5" customHeight="1" x14ac:dyDescent="0.3">
      <c r="A15" s="100"/>
      <c r="B15" s="107" t="s">
        <v>117</v>
      </c>
      <c r="C15" s="107"/>
      <c r="D15" s="104">
        <f t="shared" si="0"/>
        <v>0</v>
      </c>
      <c r="E15" s="106"/>
      <c r="F15" s="67"/>
      <c r="G15" s="106"/>
      <c r="H15" s="106"/>
      <c r="I15" s="67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</row>
    <row r="16" spans="1:35" ht="16.5" customHeight="1" x14ac:dyDescent="0.3">
      <c r="A16" s="100"/>
      <c r="B16" s="107" t="s">
        <v>118</v>
      </c>
      <c r="C16" s="107"/>
      <c r="D16" s="104">
        <f t="shared" si="0"/>
        <v>0</v>
      </c>
      <c r="E16" s="106"/>
      <c r="F16" s="67"/>
      <c r="G16" s="106"/>
      <c r="H16" s="106"/>
      <c r="I16" s="67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</row>
    <row r="17" spans="1:35" ht="16.5" customHeight="1" x14ac:dyDescent="0.3">
      <c r="A17" s="100"/>
      <c r="B17" s="107" t="s">
        <v>13</v>
      </c>
      <c r="C17" s="107"/>
      <c r="D17" s="104">
        <f t="shared" si="0"/>
        <v>0</v>
      </c>
      <c r="E17" s="106"/>
      <c r="F17" s="67"/>
      <c r="G17" s="106"/>
      <c r="H17" s="106"/>
      <c r="I17" s="67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</row>
    <row r="18" spans="1:35" ht="16.5" customHeight="1" x14ac:dyDescent="0.3">
      <c r="A18" s="100"/>
      <c r="B18" s="107" t="s">
        <v>26</v>
      </c>
      <c r="C18" s="107"/>
      <c r="D18" s="104">
        <f t="shared" si="0"/>
        <v>0</v>
      </c>
      <c r="E18" s="106"/>
      <c r="F18" s="67"/>
      <c r="G18" s="106"/>
      <c r="H18" s="106"/>
      <c r="I18" s="67"/>
      <c r="J18" s="106"/>
      <c r="K18" s="106"/>
      <c r="L18" s="67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</row>
    <row r="19" spans="1:35" ht="16.5" customHeight="1" x14ac:dyDescent="0.3">
      <c r="A19" s="100"/>
      <c r="B19" s="103" t="s">
        <v>1</v>
      </c>
      <c r="C19" s="103"/>
      <c r="D19" s="104">
        <f t="shared" si="0"/>
        <v>69460</v>
      </c>
      <c r="E19" s="67">
        <f>1125+750</f>
        <v>1875</v>
      </c>
      <c r="F19" s="67">
        <f>970+1100</f>
        <v>2070</v>
      </c>
      <c r="G19" s="67">
        <f>140+260</f>
        <v>400</v>
      </c>
      <c r="H19" s="67">
        <f>1250+970</f>
        <v>2220</v>
      </c>
      <c r="I19" s="67">
        <f>1245+650</f>
        <v>1895</v>
      </c>
      <c r="J19" s="67">
        <f>970+980</f>
        <v>1950</v>
      </c>
      <c r="K19" s="67">
        <f>660+1140</f>
        <v>1800</v>
      </c>
      <c r="L19" s="67">
        <f>1030+840</f>
        <v>1870</v>
      </c>
      <c r="M19" s="67">
        <f>1215+850</f>
        <v>2065</v>
      </c>
      <c r="N19" s="67">
        <f>970+1400</f>
        <v>2370</v>
      </c>
      <c r="O19" s="67">
        <f>1480+2220</f>
        <v>3700</v>
      </c>
      <c r="P19" s="67">
        <f>350+300</f>
        <v>650</v>
      </c>
      <c r="Q19" s="67">
        <f>1145+550</f>
        <v>1695</v>
      </c>
      <c r="R19" s="69">
        <f>670+1300</f>
        <v>1970</v>
      </c>
      <c r="S19" s="69">
        <f>1190+1140</f>
        <v>2330</v>
      </c>
      <c r="T19" s="106">
        <v>1760</v>
      </c>
      <c r="U19" s="106">
        <v>2735</v>
      </c>
      <c r="V19" s="106">
        <v>3870</v>
      </c>
      <c r="W19" s="106">
        <v>2470</v>
      </c>
      <c r="X19" s="106">
        <v>3000</v>
      </c>
      <c r="Y19" s="106">
        <v>2135</v>
      </c>
      <c r="Z19" s="106">
        <v>2170</v>
      </c>
      <c r="AA19" s="106">
        <v>2790</v>
      </c>
      <c r="AB19" s="106">
        <v>3640</v>
      </c>
      <c r="AC19" s="106">
        <v>4845</v>
      </c>
      <c r="AD19" s="106">
        <v>2070</v>
      </c>
      <c r="AE19" s="106">
        <v>2400</v>
      </c>
      <c r="AF19" s="106">
        <v>3040</v>
      </c>
      <c r="AG19" s="106">
        <v>1605</v>
      </c>
      <c r="AH19" s="106">
        <v>2070</v>
      </c>
      <c r="AI19" s="106"/>
    </row>
    <row r="20" spans="1:35" ht="16.5" customHeight="1" x14ac:dyDescent="0.3">
      <c r="A20" s="100"/>
      <c r="B20" s="107" t="s">
        <v>119</v>
      </c>
      <c r="C20" s="107"/>
      <c r="D20" s="104">
        <f t="shared" si="0"/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9"/>
      <c r="S20" s="69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</row>
    <row r="21" spans="1:35" ht="16.5" customHeight="1" x14ac:dyDescent="0.3">
      <c r="A21" s="100"/>
      <c r="B21" s="108" t="s">
        <v>120</v>
      </c>
      <c r="C21" s="109"/>
      <c r="D21" s="104">
        <f t="shared" si="0"/>
        <v>10008</v>
      </c>
      <c r="E21" s="67">
        <v>0</v>
      </c>
      <c r="F21" s="67">
        <f>35+500</f>
        <v>535</v>
      </c>
      <c r="G21" s="67">
        <v>5</v>
      </c>
      <c r="H21" s="67">
        <f>265+85</f>
        <v>350</v>
      </c>
      <c r="I21" s="67">
        <v>170</v>
      </c>
      <c r="J21" s="67">
        <v>575</v>
      </c>
      <c r="K21" s="67">
        <f>90+90</f>
        <v>180</v>
      </c>
      <c r="L21" s="67">
        <v>160</v>
      </c>
      <c r="M21" s="67">
        <v>480</v>
      </c>
      <c r="N21" s="67">
        <v>640</v>
      </c>
      <c r="O21" s="67">
        <v>180</v>
      </c>
      <c r="P21" s="67">
        <v>8</v>
      </c>
      <c r="Q21" s="67">
        <v>210</v>
      </c>
      <c r="R21" s="69">
        <v>610</v>
      </c>
      <c r="S21" s="69">
        <f>100+100</f>
        <v>200</v>
      </c>
      <c r="T21" s="106">
        <v>300</v>
      </c>
      <c r="U21" s="106">
        <v>485</v>
      </c>
      <c r="V21" s="106">
        <v>730</v>
      </c>
      <c r="W21" s="106">
        <v>90</v>
      </c>
      <c r="X21" s="106">
        <v>140</v>
      </c>
      <c r="Y21" s="106">
        <v>425</v>
      </c>
      <c r="Z21" s="106">
        <v>670</v>
      </c>
      <c r="AA21" s="106">
        <v>320</v>
      </c>
      <c r="AB21" s="106">
        <v>160</v>
      </c>
      <c r="AC21" s="106">
        <v>325</v>
      </c>
      <c r="AD21" s="106">
        <v>650</v>
      </c>
      <c r="AE21" s="106">
        <v>245</v>
      </c>
      <c r="AF21" s="106">
        <v>165</v>
      </c>
      <c r="AG21" s="106">
        <v>400</v>
      </c>
      <c r="AH21" s="106">
        <v>600</v>
      </c>
      <c r="AI21" s="106"/>
    </row>
    <row r="22" spans="1:35" ht="16.5" customHeight="1" x14ac:dyDescent="0.3">
      <c r="A22" s="100"/>
      <c r="B22" s="103" t="s">
        <v>15</v>
      </c>
      <c r="C22" s="103"/>
      <c r="D22" s="104">
        <f t="shared" si="0"/>
        <v>22368</v>
      </c>
      <c r="E22" s="67">
        <f>240+600</f>
        <v>840</v>
      </c>
      <c r="F22" s="67">
        <f>390+1030</f>
        <v>1420</v>
      </c>
      <c r="G22" s="67">
        <v>110</v>
      </c>
      <c r="H22" s="67">
        <f>184+150</f>
        <v>334</v>
      </c>
      <c r="I22" s="67">
        <f>250+600</f>
        <v>850</v>
      </c>
      <c r="J22" s="67">
        <f>830+430</f>
        <v>1260</v>
      </c>
      <c r="K22" s="67">
        <f>240+140</f>
        <v>380</v>
      </c>
      <c r="L22" s="67">
        <f>160+204</f>
        <v>364</v>
      </c>
      <c r="M22" s="67">
        <f>250+800</f>
        <v>1050</v>
      </c>
      <c r="N22" s="67">
        <f>970+550</f>
        <v>1520</v>
      </c>
      <c r="O22" s="67">
        <f>360+69</f>
        <v>429</v>
      </c>
      <c r="P22" s="67">
        <v>99</v>
      </c>
      <c r="Q22" s="67">
        <f>550+250</f>
        <v>800</v>
      </c>
      <c r="R22" s="69">
        <f>630+410</f>
        <v>1040</v>
      </c>
      <c r="S22" s="69">
        <f>220+90</f>
        <v>310</v>
      </c>
      <c r="T22" s="106">
        <v>790</v>
      </c>
      <c r="U22" s="106">
        <v>1170</v>
      </c>
      <c r="V22" s="106">
        <v>1780</v>
      </c>
      <c r="W22" s="106">
        <v>270</v>
      </c>
      <c r="X22" s="106">
        <v>359</v>
      </c>
      <c r="Y22" s="106">
        <v>870</v>
      </c>
      <c r="Z22" s="105">
        <v>1210</v>
      </c>
      <c r="AA22" s="105">
        <v>620</v>
      </c>
      <c r="AB22" s="105">
        <v>219</v>
      </c>
      <c r="AC22" s="105">
        <v>605</v>
      </c>
      <c r="AD22" s="105">
        <v>1110</v>
      </c>
      <c r="AE22" s="105">
        <v>370</v>
      </c>
      <c r="AF22" s="105">
        <v>219</v>
      </c>
      <c r="AG22" s="105">
        <v>810</v>
      </c>
      <c r="AH22" s="105">
        <v>1160</v>
      </c>
      <c r="AI22" s="105"/>
    </row>
    <row r="23" spans="1:35" ht="16.5" customHeight="1" x14ac:dyDescent="0.3">
      <c r="A23" s="100"/>
      <c r="B23" s="103" t="s">
        <v>9</v>
      </c>
      <c r="C23" s="103"/>
      <c r="D23" s="104">
        <f t="shared" si="0"/>
        <v>15029</v>
      </c>
      <c r="E23" s="67">
        <f>600+180</f>
        <v>780</v>
      </c>
      <c r="F23" s="67">
        <f>760+70</f>
        <v>830</v>
      </c>
      <c r="G23" s="67">
        <v>59</v>
      </c>
      <c r="H23" s="67">
        <f>60+200</f>
        <v>260</v>
      </c>
      <c r="I23" s="67">
        <f>190+600</f>
        <v>790</v>
      </c>
      <c r="J23" s="67">
        <f>90+660</f>
        <v>750</v>
      </c>
      <c r="K23" s="67">
        <f>90+45</f>
        <v>135</v>
      </c>
      <c r="L23" s="67">
        <v>260</v>
      </c>
      <c r="M23" s="67">
        <f>800+190</f>
        <v>990</v>
      </c>
      <c r="N23" s="67">
        <f>760+130</f>
        <v>890</v>
      </c>
      <c r="O23" s="67">
        <f>190+25</f>
        <v>215</v>
      </c>
      <c r="P23" s="67">
        <v>70</v>
      </c>
      <c r="Q23" s="67">
        <f>550+190</f>
        <v>740</v>
      </c>
      <c r="R23" s="69">
        <f>560+100</f>
        <v>660</v>
      </c>
      <c r="S23" s="69">
        <f>45+110</f>
        <v>155</v>
      </c>
      <c r="T23" s="105">
        <v>220</v>
      </c>
      <c r="U23" s="105">
        <v>1100</v>
      </c>
      <c r="V23" s="105">
        <v>930</v>
      </c>
      <c r="W23" s="105">
        <v>125</v>
      </c>
      <c r="X23" s="105">
        <v>155</v>
      </c>
      <c r="Y23" s="105">
        <v>800</v>
      </c>
      <c r="Z23" s="105">
        <v>680</v>
      </c>
      <c r="AA23" s="105">
        <v>340</v>
      </c>
      <c r="AB23" s="105">
        <v>145</v>
      </c>
      <c r="AC23" s="105">
        <v>460</v>
      </c>
      <c r="AD23" s="105">
        <v>580</v>
      </c>
      <c r="AE23" s="105">
        <v>190</v>
      </c>
      <c r="AF23" s="105">
        <v>190</v>
      </c>
      <c r="AG23" s="105">
        <v>800</v>
      </c>
      <c r="AH23" s="105">
        <v>730</v>
      </c>
      <c r="AI23" s="105"/>
    </row>
    <row r="24" spans="1:35" ht="16.5" customHeight="1" x14ac:dyDescent="0.3">
      <c r="A24" s="100"/>
      <c r="B24" s="100" t="s">
        <v>35</v>
      </c>
      <c r="C24" s="100"/>
      <c r="D24" s="104">
        <f t="shared" si="0"/>
        <v>0</v>
      </c>
      <c r="E24" s="105"/>
      <c r="F24" s="105"/>
      <c r="G24" s="105"/>
      <c r="H24" s="105"/>
      <c r="I24" s="105"/>
      <c r="J24" s="105"/>
      <c r="K24" s="105"/>
      <c r="L24" s="105"/>
      <c r="M24" s="67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</row>
    <row r="25" spans="1:35" ht="16.5" customHeight="1" x14ac:dyDescent="0.3">
      <c r="A25" s="97" t="s">
        <v>4</v>
      </c>
      <c r="B25" s="97"/>
      <c r="C25" s="97"/>
      <c r="D25" s="110">
        <f>SUM(D6:D24)</f>
        <v>251180</v>
      </c>
      <c r="E25" s="111">
        <f t="shared" ref="E25:AI25" si="1">SUM(E6:E24)</f>
        <v>6917</v>
      </c>
      <c r="F25" s="111">
        <f t="shared" si="1"/>
        <v>8555</v>
      </c>
      <c r="G25" s="111">
        <f t="shared" si="1"/>
        <v>2354</v>
      </c>
      <c r="H25" s="111">
        <f t="shared" si="1"/>
        <v>7787</v>
      </c>
      <c r="I25" s="111">
        <f t="shared" si="1"/>
        <v>6957</v>
      </c>
      <c r="J25" s="111">
        <f t="shared" si="1"/>
        <v>7995</v>
      </c>
      <c r="K25" s="111">
        <f t="shared" si="1"/>
        <v>6305</v>
      </c>
      <c r="L25" s="111">
        <f t="shared" si="1"/>
        <v>6702</v>
      </c>
      <c r="M25" s="111">
        <f t="shared" si="1"/>
        <v>8357</v>
      </c>
      <c r="N25" s="111">
        <f t="shared" si="1"/>
        <v>11510</v>
      </c>
      <c r="O25" s="111">
        <f t="shared" si="1"/>
        <v>14274</v>
      </c>
      <c r="P25" s="111">
        <f t="shared" si="1"/>
        <v>2275</v>
      </c>
      <c r="Q25" s="111">
        <f t="shared" si="1"/>
        <v>6717</v>
      </c>
      <c r="R25" s="111">
        <f t="shared" si="1"/>
        <v>8340</v>
      </c>
      <c r="S25" s="111">
        <f t="shared" si="1"/>
        <v>7605</v>
      </c>
      <c r="T25" s="111">
        <f t="shared" si="1"/>
        <v>7650</v>
      </c>
      <c r="U25" s="111">
        <f t="shared" si="1"/>
        <v>10362</v>
      </c>
      <c r="V25" s="111">
        <f t="shared" si="1"/>
        <v>13910</v>
      </c>
      <c r="W25" s="111">
        <f t="shared" si="1"/>
        <v>8275</v>
      </c>
      <c r="X25" s="111">
        <f t="shared" si="1"/>
        <v>8452</v>
      </c>
      <c r="Y25" s="111">
        <f t="shared" si="1"/>
        <v>7802</v>
      </c>
      <c r="Z25" s="111">
        <f t="shared" si="1"/>
        <v>8990</v>
      </c>
      <c r="AA25" s="111">
        <f t="shared" si="1"/>
        <v>8390</v>
      </c>
      <c r="AB25" s="111">
        <f t="shared" si="1"/>
        <v>11692</v>
      </c>
      <c r="AC25" s="111">
        <f t="shared" si="1"/>
        <v>14617</v>
      </c>
      <c r="AD25" s="111">
        <f>SUM(AD6:AD24)</f>
        <v>8530</v>
      </c>
      <c r="AE25" s="111">
        <f t="shared" ref="AE25:AH25" si="2">SUM(AE6:AE24)</f>
        <v>6935</v>
      </c>
      <c r="AF25" s="111">
        <f t="shared" si="2"/>
        <v>7563</v>
      </c>
      <c r="AG25" s="111">
        <f t="shared" si="2"/>
        <v>6772</v>
      </c>
      <c r="AH25" s="111">
        <f t="shared" si="2"/>
        <v>8590</v>
      </c>
      <c r="AI25" s="111">
        <f t="shared" si="1"/>
        <v>0</v>
      </c>
    </row>
    <row r="26" spans="1:35" x14ac:dyDescent="0.3">
      <c r="A26" s="100"/>
      <c r="B26" s="100" t="s">
        <v>6</v>
      </c>
      <c r="C26" s="56" t="s">
        <v>32</v>
      </c>
      <c r="D26" s="104">
        <f>SUM(E26:AF26)</f>
        <v>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</row>
    <row r="27" spans="1:35" x14ac:dyDescent="0.3">
      <c r="A27" s="100"/>
      <c r="B27" s="100"/>
      <c r="C27" s="56" t="s">
        <v>121</v>
      </c>
      <c r="D27" s="104">
        <f>SUM(E27:AH27)</f>
        <v>56224</v>
      </c>
      <c r="E27" s="67">
        <f>1308+750</f>
        <v>2058</v>
      </c>
      <c r="F27" s="67">
        <f>300+850</f>
        <v>1150</v>
      </c>
      <c r="G27" s="67">
        <f>650+240</f>
        <v>890</v>
      </c>
      <c r="H27" s="67">
        <f>240+1100</f>
        <v>1340</v>
      </c>
      <c r="I27" s="67">
        <f>1308+650</f>
        <v>1958</v>
      </c>
      <c r="J27" s="67">
        <f>310+650</f>
        <v>960</v>
      </c>
      <c r="K27" s="67">
        <f>1100+610</f>
        <v>1710</v>
      </c>
      <c r="L27" s="67">
        <f>380+1100</f>
        <v>1480</v>
      </c>
      <c r="M27" s="67">
        <f>1408+750</f>
        <v>2158</v>
      </c>
      <c r="N27" s="67">
        <f>600+1050</f>
        <v>1650</v>
      </c>
      <c r="O27" s="67">
        <f>2300+1030</f>
        <v>3330</v>
      </c>
      <c r="P27" s="67">
        <f>210+790</f>
        <v>1000</v>
      </c>
      <c r="Q27" s="67">
        <f>1408+500</f>
        <v>1908</v>
      </c>
      <c r="R27" s="69">
        <f>300+1150</f>
        <v>1450</v>
      </c>
      <c r="S27" s="69">
        <f>1400+310</f>
        <v>1710</v>
      </c>
      <c r="T27" s="69">
        <v>1460</v>
      </c>
      <c r="U27" s="69">
        <v>2458</v>
      </c>
      <c r="V27" s="69">
        <v>2150</v>
      </c>
      <c r="W27" s="69">
        <v>1780</v>
      </c>
      <c r="X27" s="69">
        <v>2400</v>
      </c>
      <c r="Y27" s="69">
        <v>2408</v>
      </c>
      <c r="Z27" s="69">
        <v>1400</v>
      </c>
      <c r="AA27" s="69">
        <v>2060</v>
      </c>
      <c r="AB27" s="69">
        <v>2820</v>
      </c>
      <c r="AC27" s="69">
        <v>4298</v>
      </c>
      <c r="AD27" s="69">
        <v>1400</v>
      </c>
      <c r="AE27" s="69">
        <v>1810</v>
      </c>
      <c r="AF27" s="69">
        <v>2150</v>
      </c>
      <c r="AG27" s="69">
        <v>1368</v>
      </c>
      <c r="AH27" s="69">
        <v>1510</v>
      </c>
      <c r="AI27" s="69"/>
    </row>
    <row r="28" spans="1:35" ht="16.5" customHeight="1" x14ac:dyDescent="0.3">
      <c r="A28" s="97" t="s">
        <v>4</v>
      </c>
      <c r="B28" s="97"/>
      <c r="C28" s="97"/>
      <c r="D28" s="104">
        <f>SUM(E28:AI28)</f>
        <v>56224</v>
      </c>
      <c r="E28" s="112">
        <f t="shared" ref="E28:AI28" si="3">SUM(E26:E27)</f>
        <v>2058</v>
      </c>
      <c r="F28" s="112">
        <f t="shared" si="3"/>
        <v>1150</v>
      </c>
      <c r="G28" s="112">
        <f t="shared" si="3"/>
        <v>890</v>
      </c>
      <c r="H28" s="112">
        <f t="shared" si="3"/>
        <v>1340</v>
      </c>
      <c r="I28" s="112">
        <f t="shared" si="3"/>
        <v>1958</v>
      </c>
      <c r="J28" s="112">
        <f t="shared" si="3"/>
        <v>960</v>
      </c>
      <c r="K28" s="112">
        <f t="shared" si="3"/>
        <v>1710</v>
      </c>
      <c r="L28" s="112">
        <f t="shared" si="3"/>
        <v>1480</v>
      </c>
      <c r="M28" s="112">
        <f t="shared" si="3"/>
        <v>2158</v>
      </c>
      <c r="N28" s="112">
        <f t="shared" si="3"/>
        <v>1650</v>
      </c>
      <c r="O28" s="112">
        <f t="shared" si="3"/>
        <v>3330</v>
      </c>
      <c r="P28" s="112">
        <f t="shared" si="3"/>
        <v>1000</v>
      </c>
      <c r="Q28" s="112">
        <f t="shared" si="3"/>
        <v>1908</v>
      </c>
      <c r="R28" s="112">
        <f t="shared" si="3"/>
        <v>1450</v>
      </c>
      <c r="S28" s="112">
        <f t="shared" si="3"/>
        <v>1710</v>
      </c>
      <c r="T28" s="112">
        <f t="shared" si="3"/>
        <v>1460</v>
      </c>
      <c r="U28" s="112">
        <f t="shared" si="3"/>
        <v>2458</v>
      </c>
      <c r="V28" s="112">
        <f t="shared" si="3"/>
        <v>2150</v>
      </c>
      <c r="W28" s="112">
        <f t="shared" si="3"/>
        <v>1780</v>
      </c>
      <c r="X28" s="112">
        <f t="shared" si="3"/>
        <v>2400</v>
      </c>
      <c r="Y28" s="112">
        <f t="shared" si="3"/>
        <v>2408</v>
      </c>
      <c r="Z28" s="112">
        <f t="shared" si="3"/>
        <v>1400</v>
      </c>
      <c r="AA28" s="112">
        <f t="shared" si="3"/>
        <v>2060</v>
      </c>
      <c r="AB28" s="112">
        <f t="shared" si="3"/>
        <v>2820</v>
      </c>
      <c r="AC28" s="112">
        <f t="shared" si="3"/>
        <v>4298</v>
      </c>
      <c r="AD28" s="112">
        <f t="shared" si="3"/>
        <v>1400</v>
      </c>
      <c r="AE28" s="112">
        <f t="shared" si="3"/>
        <v>1810</v>
      </c>
      <c r="AF28" s="112">
        <f t="shared" si="3"/>
        <v>2150</v>
      </c>
      <c r="AG28" s="112">
        <f t="shared" si="3"/>
        <v>1368</v>
      </c>
      <c r="AH28" s="112">
        <f t="shared" si="3"/>
        <v>1510</v>
      </c>
      <c r="AI28" s="112">
        <f t="shared" si="3"/>
        <v>0</v>
      </c>
    </row>
    <row r="29" spans="1:35" ht="16.5" customHeight="1" x14ac:dyDescent="0.3">
      <c r="A29" s="113" t="s">
        <v>87</v>
      </c>
      <c r="B29" s="113"/>
      <c r="C29" s="113"/>
      <c r="D29" s="114">
        <f>D25+D28</f>
        <v>307404</v>
      </c>
      <c r="E29" s="115">
        <f>SUM(E25,E28)</f>
        <v>8975</v>
      </c>
      <c r="F29" s="115">
        <f t="shared" ref="F29:AI29" si="4">SUM(F25,F28)</f>
        <v>9705</v>
      </c>
      <c r="G29" s="115">
        <f t="shared" si="4"/>
        <v>3244</v>
      </c>
      <c r="H29" s="115">
        <f t="shared" si="4"/>
        <v>9127</v>
      </c>
      <c r="I29" s="115">
        <f t="shared" si="4"/>
        <v>8915</v>
      </c>
      <c r="J29" s="115">
        <f t="shared" si="4"/>
        <v>8955</v>
      </c>
      <c r="K29" s="115">
        <f t="shared" si="4"/>
        <v>8015</v>
      </c>
      <c r="L29" s="115">
        <f t="shared" si="4"/>
        <v>8182</v>
      </c>
      <c r="M29" s="115">
        <f t="shared" si="4"/>
        <v>10515</v>
      </c>
      <c r="N29" s="115">
        <f t="shared" si="4"/>
        <v>13160</v>
      </c>
      <c r="O29" s="115">
        <f t="shared" si="4"/>
        <v>17604</v>
      </c>
      <c r="P29" s="115">
        <f t="shared" si="4"/>
        <v>3275</v>
      </c>
      <c r="Q29" s="115">
        <f t="shared" si="4"/>
        <v>8625</v>
      </c>
      <c r="R29" s="115">
        <f t="shared" si="4"/>
        <v>9790</v>
      </c>
      <c r="S29" s="115">
        <f t="shared" si="4"/>
        <v>9315</v>
      </c>
      <c r="T29" s="115">
        <f t="shared" si="4"/>
        <v>9110</v>
      </c>
      <c r="U29" s="115">
        <f t="shared" si="4"/>
        <v>12820</v>
      </c>
      <c r="V29" s="115">
        <f t="shared" si="4"/>
        <v>16060</v>
      </c>
      <c r="W29" s="115">
        <f t="shared" si="4"/>
        <v>10055</v>
      </c>
      <c r="X29" s="115">
        <f t="shared" si="4"/>
        <v>10852</v>
      </c>
      <c r="Y29" s="115">
        <f t="shared" si="4"/>
        <v>10210</v>
      </c>
      <c r="Z29" s="115">
        <f t="shared" si="4"/>
        <v>10390</v>
      </c>
      <c r="AA29" s="115">
        <f t="shared" si="4"/>
        <v>10450</v>
      </c>
      <c r="AB29" s="115">
        <f t="shared" si="4"/>
        <v>14512</v>
      </c>
      <c r="AC29" s="115">
        <f t="shared" si="4"/>
        <v>18915</v>
      </c>
      <c r="AD29" s="115">
        <f>SUM(AD25,AD28)</f>
        <v>9930</v>
      </c>
      <c r="AE29" s="115">
        <f t="shared" ref="AE29:AH29" si="5">SUM(AE25,AE28)</f>
        <v>8745</v>
      </c>
      <c r="AF29" s="115">
        <f t="shared" si="5"/>
        <v>9713</v>
      </c>
      <c r="AG29" s="115">
        <f t="shared" si="5"/>
        <v>8140</v>
      </c>
      <c r="AH29" s="115">
        <f t="shared" si="5"/>
        <v>10100</v>
      </c>
      <c r="AI29" s="115">
        <f t="shared" si="4"/>
        <v>0</v>
      </c>
    </row>
    <row r="30" spans="1:35" x14ac:dyDescent="0.3">
      <c r="AH30" s="87">
        <f>SUM(AD29:AH29)</f>
        <v>46628</v>
      </c>
    </row>
    <row r="32" spans="1:35" x14ac:dyDescent="0.3">
      <c r="D32" s="116" t="s">
        <v>122</v>
      </c>
    </row>
    <row r="34" spans="5:5" x14ac:dyDescent="0.3">
      <c r="E34" s="87" t="s">
        <v>122</v>
      </c>
    </row>
  </sheetData>
  <mergeCells count="31">
    <mergeCell ref="A28:C28"/>
    <mergeCell ref="A29:C29"/>
    <mergeCell ref="B21:C21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1:D1"/>
    <mergeCell ref="H1:M2"/>
    <mergeCell ref="A3:C3"/>
    <mergeCell ref="D3:D4"/>
    <mergeCell ref="A4:C4"/>
    <mergeCell ref="A5:A24"/>
    <mergeCell ref="B5:C5"/>
    <mergeCell ref="B6:C6"/>
    <mergeCell ref="B7:C7"/>
    <mergeCell ref="B8:C8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zoomScale="70" zoomScaleNormal="70" workbookViewId="0">
      <selection activeCell="J42" sqref="J42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375" style="44" customWidth="1"/>
    <col min="5" max="16384" width="9" style="44"/>
  </cols>
  <sheetData>
    <row r="1" spans="1:35" ht="26.25" x14ac:dyDescent="0.3">
      <c r="A1" s="94" t="s">
        <v>123</v>
      </c>
      <c r="B1" s="94"/>
      <c r="C1" s="94"/>
      <c r="D1" s="94"/>
      <c r="H1" s="95"/>
      <c r="I1" s="95"/>
      <c r="J1" s="95"/>
      <c r="K1" s="95"/>
      <c r="L1" s="95"/>
      <c r="M1" s="95"/>
    </row>
    <row r="2" spans="1:35" ht="26.25" x14ac:dyDescent="0.3">
      <c r="A2" s="47"/>
      <c r="B2" s="48"/>
      <c r="C2" s="48"/>
      <c r="D2" s="96"/>
      <c r="E2" s="48"/>
      <c r="F2" s="48"/>
      <c r="G2" s="48"/>
      <c r="H2" s="49"/>
      <c r="I2" s="49"/>
      <c r="J2" s="49"/>
      <c r="K2" s="49"/>
      <c r="L2" s="49"/>
      <c r="M2" s="49"/>
      <c r="N2" s="48"/>
      <c r="O2" s="48"/>
      <c r="P2" s="48"/>
      <c r="Q2" s="48"/>
      <c r="R2" s="48"/>
      <c r="S2" s="48"/>
    </row>
    <row r="3" spans="1:35" x14ac:dyDescent="0.3">
      <c r="A3" s="97" t="s">
        <v>19</v>
      </c>
      <c r="B3" s="97"/>
      <c r="C3" s="97"/>
      <c r="D3" s="98" t="s">
        <v>5</v>
      </c>
      <c r="E3" s="99">
        <v>1</v>
      </c>
      <c r="F3" s="99">
        <v>2</v>
      </c>
      <c r="G3" s="99">
        <v>3</v>
      </c>
      <c r="H3" s="99">
        <v>4</v>
      </c>
      <c r="I3" s="99">
        <v>5</v>
      </c>
      <c r="J3" s="99">
        <v>6</v>
      </c>
      <c r="K3" s="99">
        <v>7</v>
      </c>
      <c r="L3" s="99">
        <v>8</v>
      </c>
      <c r="M3" s="99">
        <v>9</v>
      </c>
      <c r="N3" s="99">
        <v>10</v>
      </c>
      <c r="O3" s="99">
        <v>11</v>
      </c>
      <c r="P3" s="99">
        <v>12</v>
      </c>
      <c r="Q3" s="99">
        <v>13</v>
      </c>
      <c r="R3" s="99">
        <v>14</v>
      </c>
      <c r="S3" s="99">
        <v>15</v>
      </c>
      <c r="T3" s="99">
        <v>16</v>
      </c>
      <c r="U3" s="99">
        <v>17</v>
      </c>
      <c r="V3" s="99">
        <v>18</v>
      </c>
      <c r="W3" s="99">
        <v>19</v>
      </c>
      <c r="X3" s="99">
        <v>20</v>
      </c>
      <c r="Y3" s="99">
        <v>21</v>
      </c>
      <c r="Z3" s="99">
        <v>22</v>
      </c>
      <c r="AA3" s="99">
        <v>23</v>
      </c>
      <c r="AB3" s="99">
        <v>24</v>
      </c>
      <c r="AC3" s="99">
        <v>25</v>
      </c>
      <c r="AD3" s="99">
        <v>26</v>
      </c>
      <c r="AE3" s="99">
        <v>27</v>
      </c>
      <c r="AF3" s="99">
        <v>28</v>
      </c>
      <c r="AG3" s="99">
        <v>29</v>
      </c>
      <c r="AH3" s="99">
        <v>30</v>
      </c>
      <c r="AI3" s="99">
        <v>31</v>
      </c>
    </row>
    <row r="4" spans="1:35" x14ac:dyDescent="0.3">
      <c r="A4" s="97" t="s">
        <v>18</v>
      </c>
      <c r="B4" s="97"/>
      <c r="C4" s="97"/>
      <c r="D4" s="98"/>
      <c r="E4" s="56" t="s">
        <v>124</v>
      </c>
      <c r="F4" s="56" t="s">
        <v>54</v>
      </c>
      <c r="G4" s="56" t="s">
        <v>55</v>
      </c>
      <c r="H4" s="56" t="s">
        <v>56</v>
      </c>
      <c r="I4" s="56" t="s">
        <v>57</v>
      </c>
      <c r="J4" s="56" t="s">
        <v>58</v>
      </c>
      <c r="K4" s="56" t="s">
        <v>59</v>
      </c>
      <c r="L4" s="56" t="s">
        <v>125</v>
      </c>
      <c r="M4" s="56" t="s">
        <v>54</v>
      </c>
      <c r="N4" s="56" t="s">
        <v>55</v>
      </c>
      <c r="O4" s="56" t="s">
        <v>56</v>
      </c>
      <c r="P4" s="56" t="s">
        <v>57</v>
      </c>
      <c r="Q4" s="56" t="s">
        <v>58</v>
      </c>
      <c r="R4" s="56" t="s">
        <v>59</v>
      </c>
      <c r="S4" s="61" t="s">
        <v>125</v>
      </c>
      <c r="T4" s="61" t="s">
        <v>54</v>
      </c>
      <c r="U4" s="61" t="s">
        <v>55</v>
      </c>
      <c r="V4" s="61" t="s">
        <v>56</v>
      </c>
      <c r="W4" s="61" t="s">
        <v>57</v>
      </c>
      <c r="X4" s="61" t="s">
        <v>58</v>
      </c>
      <c r="Y4" s="61" t="s">
        <v>59</v>
      </c>
      <c r="Z4" s="56" t="s">
        <v>124</v>
      </c>
      <c r="AA4" s="56" t="s">
        <v>54</v>
      </c>
      <c r="AB4" s="56" t="s">
        <v>55</v>
      </c>
      <c r="AC4" s="56" t="s">
        <v>56</v>
      </c>
      <c r="AD4" s="56" t="s">
        <v>57</v>
      </c>
      <c r="AE4" s="56" t="s">
        <v>58</v>
      </c>
      <c r="AF4" s="56" t="s">
        <v>59</v>
      </c>
      <c r="AG4" s="56" t="s">
        <v>124</v>
      </c>
      <c r="AH4" s="56" t="s">
        <v>54</v>
      </c>
      <c r="AI4" s="56" t="s">
        <v>55</v>
      </c>
    </row>
    <row r="5" spans="1:35" x14ac:dyDescent="0.3">
      <c r="A5" s="100" t="s">
        <v>31</v>
      </c>
      <c r="B5" s="100" t="s">
        <v>30</v>
      </c>
      <c r="C5" s="100"/>
      <c r="D5" s="101"/>
      <c r="E5" s="102" t="s">
        <v>126</v>
      </c>
      <c r="F5" s="61" t="s">
        <v>111</v>
      </c>
      <c r="G5" s="61" t="s">
        <v>111</v>
      </c>
      <c r="H5" s="61" t="s">
        <v>126</v>
      </c>
      <c r="I5" s="61" t="s">
        <v>127</v>
      </c>
      <c r="J5" s="61" t="s">
        <v>127</v>
      </c>
      <c r="K5" s="61" t="s">
        <v>128</v>
      </c>
      <c r="L5" s="61" t="s">
        <v>111</v>
      </c>
      <c r="M5" s="61" t="s">
        <v>129</v>
      </c>
      <c r="N5" s="61" t="s">
        <v>130</v>
      </c>
      <c r="O5" s="61" t="s">
        <v>127</v>
      </c>
      <c r="P5" s="61" t="s">
        <v>111</v>
      </c>
      <c r="Q5" s="61" t="s">
        <v>111</v>
      </c>
      <c r="R5" s="61" t="s">
        <v>129</v>
      </c>
      <c r="S5" s="61" t="s">
        <v>131</v>
      </c>
      <c r="T5" s="102" t="s">
        <v>131</v>
      </c>
      <c r="U5" s="102" t="s">
        <v>132</v>
      </c>
      <c r="V5" s="102" t="s">
        <v>127</v>
      </c>
      <c r="W5" s="102" t="s">
        <v>111</v>
      </c>
      <c r="X5" s="102" t="s">
        <v>133</v>
      </c>
      <c r="Y5" s="102" t="s">
        <v>126</v>
      </c>
      <c r="Z5" s="102" t="s">
        <v>127</v>
      </c>
      <c r="AA5" s="102" t="s">
        <v>111</v>
      </c>
      <c r="AB5" s="102" t="s">
        <v>128</v>
      </c>
      <c r="AC5" s="102" t="s">
        <v>132</v>
      </c>
      <c r="AD5" s="102" t="s">
        <v>111</v>
      </c>
      <c r="AE5" s="102" t="s">
        <v>128</v>
      </c>
      <c r="AF5" s="102" t="s">
        <v>134</v>
      </c>
      <c r="AG5" s="102" t="s">
        <v>126</v>
      </c>
      <c r="AH5" s="102" t="s">
        <v>132</v>
      </c>
      <c r="AI5" s="102" t="s">
        <v>126</v>
      </c>
    </row>
    <row r="6" spans="1:35" x14ac:dyDescent="0.3">
      <c r="A6" s="100"/>
      <c r="B6" s="103" t="s">
        <v>21</v>
      </c>
      <c r="C6" s="103"/>
      <c r="D6" s="117">
        <f>SUM(E6:AI6)</f>
        <v>1340</v>
      </c>
      <c r="E6" s="67">
        <v>0</v>
      </c>
      <c r="F6" s="67">
        <v>210</v>
      </c>
      <c r="G6" s="67">
        <v>0</v>
      </c>
      <c r="H6" s="67">
        <v>100</v>
      </c>
      <c r="I6" s="67">
        <v>0</v>
      </c>
      <c r="J6" s="67">
        <v>210</v>
      </c>
      <c r="K6" s="67">
        <v>0</v>
      </c>
      <c r="L6" s="67">
        <v>100</v>
      </c>
      <c r="M6" s="67">
        <v>0</v>
      </c>
      <c r="N6" s="67">
        <v>0</v>
      </c>
      <c r="O6" s="68">
        <v>0</v>
      </c>
      <c r="P6" s="67">
        <v>100</v>
      </c>
      <c r="Q6" s="67">
        <v>0</v>
      </c>
      <c r="R6" s="69">
        <v>220</v>
      </c>
      <c r="S6" s="69">
        <v>0</v>
      </c>
      <c r="T6" s="105">
        <v>100</v>
      </c>
      <c r="U6" s="105">
        <v>0</v>
      </c>
      <c r="V6" s="105">
        <v>0</v>
      </c>
      <c r="W6" s="105">
        <v>0</v>
      </c>
      <c r="X6" s="105">
        <v>100</v>
      </c>
      <c r="Y6" s="105">
        <v>0</v>
      </c>
      <c r="Z6" s="105">
        <v>0</v>
      </c>
      <c r="AA6" s="105">
        <v>0</v>
      </c>
      <c r="AB6" s="105">
        <v>100</v>
      </c>
      <c r="AC6" s="105">
        <v>0</v>
      </c>
      <c r="AD6" s="105">
        <v>0</v>
      </c>
      <c r="AE6" s="105">
        <v>0</v>
      </c>
      <c r="AF6" s="105">
        <v>100</v>
      </c>
      <c r="AG6" s="105">
        <v>0</v>
      </c>
      <c r="AH6" s="105">
        <v>0</v>
      </c>
      <c r="AI6" s="105">
        <v>0</v>
      </c>
    </row>
    <row r="7" spans="1:35" x14ac:dyDescent="0.3">
      <c r="A7" s="100"/>
      <c r="B7" s="103" t="s">
        <v>22</v>
      </c>
      <c r="C7" s="103"/>
      <c r="D7" s="117">
        <f t="shared" ref="D7:D9" si="0">SUM(E7:AI7)</f>
        <v>48221</v>
      </c>
      <c r="E7" s="67">
        <v>1030</v>
      </c>
      <c r="F7" s="67">
        <v>2643</v>
      </c>
      <c r="G7" s="67">
        <v>600</v>
      </c>
      <c r="H7" s="67">
        <v>1400</v>
      </c>
      <c r="I7" s="67">
        <v>1190</v>
      </c>
      <c r="J7" s="67">
        <v>1420</v>
      </c>
      <c r="K7" s="67">
        <v>600</v>
      </c>
      <c r="L7" s="67">
        <v>2500</v>
      </c>
      <c r="M7" s="67">
        <v>2030</v>
      </c>
      <c r="N7" s="67">
        <v>1643</v>
      </c>
      <c r="O7" s="67">
        <v>900</v>
      </c>
      <c r="P7" s="67">
        <v>2400</v>
      </c>
      <c r="Q7" s="67">
        <v>1940</v>
      </c>
      <c r="R7" s="69">
        <v>1763</v>
      </c>
      <c r="S7" s="69">
        <v>700</v>
      </c>
      <c r="T7" s="105">
        <v>2400</v>
      </c>
      <c r="U7" s="105">
        <v>240</v>
      </c>
      <c r="V7" s="105">
        <v>1763</v>
      </c>
      <c r="W7" s="105">
        <v>1010</v>
      </c>
      <c r="X7" s="105">
        <v>2000</v>
      </c>
      <c r="Y7" s="105">
        <v>360</v>
      </c>
      <c r="Z7" s="105">
        <v>2233</v>
      </c>
      <c r="AA7" s="105">
        <v>1110</v>
      </c>
      <c r="AB7" s="105">
        <v>2500</v>
      </c>
      <c r="AC7" s="105">
        <v>1850</v>
      </c>
      <c r="AD7" s="105">
        <v>2233</v>
      </c>
      <c r="AE7" s="105">
        <v>1010</v>
      </c>
      <c r="AF7" s="105">
        <v>1900</v>
      </c>
      <c r="AG7" s="105">
        <v>2020</v>
      </c>
      <c r="AH7" s="105">
        <v>2233</v>
      </c>
      <c r="AI7" s="105">
        <v>600</v>
      </c>
    </row>
    <row r="8" spans="1:35" x14ac:dyDescent="0.3">
      <c r="A8" s="100"/>
      <c r="B8" s="103" t="s">
        <v>24</v>
      </c>
      <c r="C8" s="103"/>
      <c r="D8" s="117">
        <f t="shared" si="0"/>
        <v>61231</v>
      </c>
      <c r="E8" s="67">
        <v>2030</v>
      </c>
      <c r="F8" s="67">
        <v>2360</v>
      </c>
      <c r="G8" s="67">
        <v>1806</v>
      </c>
      <c r="H8" s="67">
        <v>490</v>
      </c>
      <c r="I8" s="67">
        <v>2930</v>
      </c>
      <c r="J8" s="67">
        <v>1510</v>
      </c>
      <c r="K8" s="67">
        <v>1806</v>
      </c>
      <c r="L8" s="67">
        <v>870</v>
      </c>
      <c r="M8" s="67">
        <v>3130</v>
      </c>
      <c r="N8" s="67">
        <v>2061</v>
      </c>
      <c r="O8" s="67">
        <v>1856</v>
      </c>
      <c r="P8" s="67">
        <v>720</v>
      </c>
      <c r="Q8" s="67">
        <v>2930</v>
      </c>
      <c r="R8" s="69">
        <v>3600</v>
      </c>
      <c r="S8" s="69">
        <v>1226</v>
      </c>
      <c r="T8" s="106">
        <v>620</v>
      </c>
      <c r="U8" s="106">
        <v>2030</v>
      </c>
      <c r="V8" s="106">
        <v>3561</v>
      </c>
      <c r="W8" s="106">
        <v>1856</v>
      </c>
      <c r="X8" s="106">
        <v>510</v>
      </c>
      <c r="Y8" s="106">
        <v>2330</v>
      </c>
      <c r="Z8" s="106">
        <v>3830</v>
      </c>
      <c r="AA8" s="106">
        <v>2596</v>
      </c>
      <c r="AB8" s="106">
        <v>610</v>
      </c>
      <c r="AC8" s="106">
        <v>2130</v>
      </c>
      <c r="AD8" s="106">
        <v>3861</v>
      </c>
      <c r="AE8" s="106">
        <v>1156</v>
      </c>
      <c r="AF8" s="106">
        <v>1190</v>
      </c>
      <c r="AG8" s="105">
        <v>2530</v>
      </c>
      <c r="AH8" s="105">
        <v>1940</v>
      </c>
      <c r="AI8" s="105">
        <v>1156</v>
      </c>
    </row>
    <row r="9" spans="1:35" x14ac:dyDescent="0.3">
      <c r="A9" s="100"/>
      <c r="B9" s="103" t="s">
        <v>28</v>
      </c>
      <c r="C9" s="103"/>
      <c r="D9" s="117">
        <f t="shared" si="0"/>
        <v>46501</v>
      </c>
      <c r="E9" s="67">
        <f>190+500</f>
        <v>690</v>
      </c>
      <c r="F9" s="67">
        <f>1260+1715</f>
        <v>2975</v>
      </c>
      <c r="G9" s="67">
        <f>551+600</f>
        <v>1151</v>
      </c>
      <c r="H9" s="67">
        <f>770+280</f>
        <v>1050</v>
      </c>
      <c r="I9" s="67">
        <f>430+685</f>
        <v>1115</v>
      </c>
      <c r="J9" s="67">
        <f>1070+870</f>
        <v>1940</v>
      </c>
      <c r="K9" s="67">
        <f>551+600</f>
        <v>1151</v>
      </c>
      <c r="L9" s="67">
        <f>870+390</f>
        <v>1260</v>
      </c>
      <c r="M9" s="67">
        <f>660+1080</f>
        <v>1740</v>
      </c>
      <c r="N9" s="67">
        <f>581+615</f>
        <v>1196</v>
      </c>
      <c r="O9" s="67">
        <f>601+900</f>
        <v>1501</v>
      </c>
      <c r="P9" s="67">
        <f>890+430</f>
        <v>1320</v>
      </c>
      <c r="Q9" s="67">
        <v>1460</v>
      </c>
      <c r="R9" s="69">
        <f>1810+985</f>
        <v>2795</v>
      </c>
      <c r="S9" s="69">
        <f>311+700</f>
        <v>1011</v>
      </c>
      <c r="T9" s="106">
        <f>430+730</f>
        <v>1160</v>
      </c>
      <c r="U9" s="106">
        <f>180+220</f>
        <v>400</v>
      </c>
      <c r="V9" s="106">
        <f>581+985</f>
        <v>1566</v>
      </c>
      <c r="W9" s="106">
        <v>2271</v>
      </c>
      <c r="X9" s="106">
        <f>270+790</f>
        <v>1060</v>
      </c>
      <c r="Y9" s="106">
        <f>290+180</f>
        <v>470</v>
      </c>
      <c r="Z9" s="106">
        <f>520+1525</f>
        <v>2045</v>
      </c>
      <c r="AA9" s="106">
        <f>1701+1100</f>
        <v>2801</v>
      </c>
      <c r="AB9" s="106">
        <f>390+890</f>
        <v>1280</v>
      </c>
      <c r="AC9" s="106">
        <f>830+250</f>
        <v>1080</v>
      </c>
      <c r="AD9" s="106">
        <f>641+1525</f>
        <v>2166</v>
      </c>
      <c r="AE9" s="106">
        <v>1931</v>
      </c>
      <c r="AF9" s="106">
        <f>1150+200</f>
        <v>1350</v>
      </c>
      <c r="AG9" s="106">
        <f>750+310</f>
        <v>1060</v>
      </c>
      <c r="AH9" s="106">
        <f>450+1525</f>
        <v>1975</v>
      </c>
      <c r="AI9" s="106">
        <f>931+600</f>
        <v>1531</v>
      </c>
    </row>
    <row r="10" spans="1:35" x14ac:dyDescent="0.3">
      <c r="A10" s="100"/>
      <c r="B10" s="107" t="s">
        <v>17</v>
      </c>
      <c r="C10" s="107"/>
      <c r="D10" s="117" t="s">
        <v>135</v>
      </c>
      <c r="E10" s="106"/>
      <c r="F10" s="67"/>
      <c r="G10" s="106"/>
      <c r="H10" s="106"/>
      <c r="I10" s="67"/>
      <c r="J10" s="106"/>
      <c r="K10" s="106"/>
      <c r="L10" s="106"/>
      <c r="M10" s="106"/>
      <c r="N10" s="67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</row>
    <row r="11" spans="1:35" x14ac:dyDescent="0.3">
      <c r="A11" s="100"/>
      <c r="B11" s="107" t="s">
        <v>38</v>
      </c>
      <c r="C11" s="107"/>
      <c r="D11" s="117"/>
      <c r="E11" s="106"/>
      <c r="F11" s="67"/>
      <c r="G11" s="106"/>
      <c r="H11" s="106"/>
      <c r="I11" s="67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</row>
    <row r="12" spans="1:35" x14ac:dyDescent="0.3">
      <c r="A12" s="100"/>
      <c r="B12" s="107" t="s">
        <v>116</v>
      </c>
      <c r="C12" s="107"/>
      <c r="D12" s="117"/>
      <c r="E12" s="106"/>
      <c r="F12" s="67"/>
      <c r="G12" s="106"/>
      <c r="H12" s="106"/>
      <c r="I12" s="67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5" x14ac:dyDescent="0.3">
      <c r="A13" s="100"/>
      <c r="B13" s="107" t="s">
        <v>46</v>
      </c>
      <c r="C13" s="107"/>
      <c r="D13" s="117"/>
      <c r="E13" s="106"/>
      <c r="F13" s="67"/>
      <c r="G13" s="106"/>
      <c r="H13" s="106"/>
      <c r="I13" s="67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</row>
    <row r="14" spans="1:35" x14ac:dyDescent="0.3">
      <c r="A14" s="100"/>
      <c r="B14" s="107" t="s">
        <v>3</v>
      </c>
      <c r="C14" s="107"/>
      <c r="D14" s="117"/>
      <c r="E14" s="106"/>
      <c r="F14" s="67"/>
      <c r="G14" s="106"/>
      <c r="H14" s="106"/>
      <c r="I14" s="67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</row>
    <row r="15" spans="1:35" x14ac:dyDescent="0.3">
      <c r="A15" s="100"/>
      <c r="B15" s="107" t="s">
        <v>136</v>
      </c>
      <c r="C15" s="107"/>
      <c r="D15" s="117"/>
      <c r="E15" s="106"/>
      <c r="F15" s="67"/>
      <c r="G15" s="106"/>
      <c r="H15" s="106"/>
      <c r="I15" s="67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</row>
    <row r="16" spans="1:35" x14ac:dyDescent="0.3">
      <c r="A16" s="100"/>
      <c r="B16" s="107" t="s">
        <v>118</v>
      </c>
      <c r="C16" s="107"/>
      <c r="D16" s="117"/>
      <c r="E16" s="106"/>
      <c r="F16" s="67"/>
      <c r="G16" s="106"/>
      <c r="H16" s="106"/>
      <c r="I16" s="67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</row>
    <row r="17" spans="1:35" x14ac:dyDescent="0.3">
      <c r="A17" s="100"/>
      <c r="B17" s="107" t="s">
        <v>13</v>
      </c>
      <c r="C17" s="107"/>
      <c r="D17" s="117"/>
      <c r="E17" s="106"/>
      <c r="F17" s="67"/>
      <c r="G17" s="106"/>
      <c r="H17" s="106"/>
      <c r="I17" s="67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</row>
    <row r="18" spans="1:35" x14ac:dyDescent="0.3">
      <c r="A18" s="100"/>
      <c r="B18" s="107" t="s">
        <v>26</v>
      </c>
      <c r="C18" s="107"/>
      <c r="D18" s="117"/>
      <c r="E18" s="106"/>
      <c r="F18" s="67"/>
      <c r="G18" s="106"/>
      <c r="H18" s="106"/>
      <c r="I18" s="67"/>
      <c r="J18" s="106"/>
      <c r="K18" s="106"/>
      <c r="L18" s="67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</row>
    <row r="19" spans="1:35" x14ac:dyDescent="0.3">
      <c r="A19" s="100"/>
      <c r="B19" s="103" t="s">
        <v>1</v>
      </c>
      <c r="C19" s="103"/>
      <c r="D19" s="117">
        <f t="shared" ref="D19" si="1">SUM(E19:AI19)</f>
        <v>71320</v>
      </c>
      <c r="E19" s="67">
        <f>1050+990</f>
        <v>2040</v>
      </c>
      <c r="F19" s="67">
        <f>1760+2310</f>
        <v>4070</v>
      </c>
      <c r="G19" s="67">
        <f>1055+600</f>
        <v>1655</v>
      </c>
      <c r="H19" s="67">
        <f>570+750</f>
        <v>1320</v>
      </c>
      <c r="I19" s="67">
        <f>2060+895</f>
        <v>2955</v>
      </c>
      <c r="J19" s="67">
        <f>910+1600</f>
        <v>2510</v>
      </c>
      <c r="K19" s="67">
        <f>1055+600</f>
        <v>1655</v>
      </c>
      <c r="L19" s="67">
        <f>570+1300</f>
        <v>1870</v>
      </c>
      <c r="M19" s="67">
        <f>1860+1070</f>
        <v>2930</v>
      </c>
      <c r="N19" s="67">
        <f>1055+1710</f>
        <v>2765</v>
      </c>
      <c r="O19" s="67">
        <f>1415+750</f>
        <v>2165</v>
      </c>
      <c r="P19" s="67">
        <f>630+1200</f>
        <v>1830</v>
      </c>
      <c r="Q19" s="67">
        <f>1560+910</f>
        <v>2470</v>
      </c>
      <c r="R19" s="69">
        <f>1050+2210</f>
        <v>3260</v>
      </c>
      <c r="S19" s="69">
        <f>550+455</f>
        <v>1005</v>
      </c>
      <c r="T19" s="106">
        <f>630+1200</f>
        <v>1830</v>
      </c>
      <c r="U19" s="106">
        <f>440+160</f>
        <v>600</v>
      </c>
      <c r="V19" s="106">
        <f>1055+2210</f>
        <v>3265</v>
      </c>
      <c r="W19" s="106">
        <f>2065+1050</f>
        <v>3115</v>
      </c>
      <c r="X19" s="106">
        <f>570+730</f>
        <v>1300</v>
      </c>
      <c r="Y19" s="106">
        <f>1060+230</f>
        <v>1290</v>
      </c>
      <c r="Z19" s="106">
        <f>2640+1240</f>
        <v>3880</v>
      </c>
      <c r="AA19" s="106">
        <f>2465+1150</f>
        <v>3615</v>
      </c>
      <c r="AB19" s="106">
        <f>570+1300</f>
        <v>1870</v>
      </c>
      <c r="AC19" s="106">
        <f>960+870</f>
        <v>1830</v>
      </c>
      <c r="AD19" s="106">
        <f>1055+2640</f>
        <v>3695</v>
      </c>
      <c r="AE19" s="106">
        <f>1495+1150</f>
        <v>2645</v>
      </c>
      <c r="AF19" s="106">
        <f>570+360</f>
        <v>930</v>
      </c>
      <c r="AG19" s="106">
        <f>760+680</f>
        <v>1440</v>
      </c>
      <c r="AH19" s="106">
        <f>690+2640</f>
        <v>3330</v>
      </c>
      <c r="AI19" s="106">
        <f>1535+650</f>
        <v>2185</v>
      </c>
    </row>
    <row r="20" spans="1:35" x14ac:dyDescent="0.3">
      <c r="A20" s="100"/>
      <c r="B20" s="107" t="s">
        <v>137</v>
      </c>
      <c r="C20" s="107"/>
      <c r="D20" s="117" t="s">
        <v>135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9"/>
      <c r="S20" s="69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</row>
    <row r="21" spans="1:35" x14ac:dyDescent="0.3">
      <c r="A21" s="100"/>
      <c r="B21" s="108" t="s">
        <v>138</v>
      </c>
      <c r="C21" s="109"/>
      <c r="D21" s="117">
        <f>SUM(E21:AI21)</f>
        <v>14572</v>
      </c>
      <c r="E21" s="67">
        <v>190</v>
      </c>
      <c r="F21" s="67">
        <f>165+175</f>
        <v>340</v>
      </c>
      <c r="G21" s="67">
        <f>150+250</f>
        <v>400</v>
      </c>
      <c r="H21" s="67">
        <f>500+70</f>
        <v>570</v>
      </c>
      <c r="I21" s="67">
        <f>190+110</f>
        <v>300</v>
      </c>
      <c r="J21" s="67">
        <f>120+155</f>
        <v>275</v>
      </c>
      <c r="K21" s="67">
        <f>150+250</f>
        <v>400</v>
      </c>
      <c r="L21" s="67">
        <f>500+240</f>
        <v>740</v>
      </c>
      <c r="M21" s="67">
        <f>210+160</f>
        <v>370</v>
      </c>
      <c r="N21" s="67">
        <f>150+115</f>
        <v>265</v>
      </c>
      <c r="O21" s="67">
        <f>180+550</f>
        <v>730</v>
      </c>
      <c r="P21" s="67">
        <f>500+230</f>
        <v>730</v>
      </c>
      <c r="Q21" s="67">
        <f>250+190</f>
        <v>440</v>
      </c>
      <c r="R21" s="69">
        <f>210+175</f>
        <v>385</v>
      </c>
      <c r="S21" s="69">
        <f>17+250</f>
        <v>267</v>
      </c>
      <c r="T21" s="106">
        <f>230+500</f>
        <v>730</v>
      </c>
      <c r="U21" s="106">
        <v>120</v>
      </c>
      <c r="V21" s="106">
        <f>150+175</f>
        <v>325</v>
      </c>
      <c r="W21" s="106">
        <f>180+690</f>
        <v>870</v>
      </c>
      <c r="X21" s="106">
        <f>500+150</f>
        <v>650</v>
      </c>
      <c r="Y21" s="106">
        <v>150</v>
      </c>
      <c r="Z21" s="106">
        <f>110+260+95</f>
        <v>465</v>
      </c>
      <c r="AA21" s="106">
        <f>180+890</f>
        <v>1070</v>
      </c>
      <c r="AB21" s="106">
        <f>500+260</f>
        <v>760</v>
      </c>
      <c r="AC21" s="106">
        <f>120+60</f>
        <v>180</v>
      </c>
      <c r="AD21" s="106">
        <f>150+275+80</f>
        <v>505</v>
      </c>
      <c r="AE21" s="106">
        <f>180+400</f>
        <v>580</v>
      </c>
      <c r="AF21" s="106">
        <f>500+90</f>
        <v>590</v>
      </c>
      <c r="AG21" s="106">
        <f>140+200</f>
        <v>340</v>
      </c>
      <c r="AH21" s="106">
        <f>50+260+95</f>
        <v>405</v>
      </c>
      <c r="AI21" s="106">
        <f>180+250</f>
        <v>430</v>
      </c>
    </row>
    <row r="22" spans="1:35" x14ac:dyDescent="0.3">
      <c r="A22" s="100"/>
      <c r="B22" s="103" t="s">
        <v>15</v>
      </c>
      <c r="C22" s="103"/>
      <c r="D22" s="117">
        <f>SUM(E22:AI22)</f>
        <v>21106</v>
      </c>
      <c r="E22" s="67">
        <v>330</v>
      </c>
      <c r="F22" s="67">
        <f>220+449</f>
        <v>669</v>
      </c>
      <c r="G22" s="67">
        <f>210+600</f>
        <v>810</v>
      </c>
      <c r="H22" s="67">
        <f>530+230</f>
        <v>760</v>
      </c>
      <c r="I22" s="67">
        <f>360+180</f>
        <v>540</v>
      </c>
      <c r="J22" s="67">
        <f>140+340</f>
        <v>480</v>
      </c>
      <c r="K22" s="67">
        <f>600+210</f>
        <v>810</v>
      </c>
      <c r="L22" s="67">
        <f>630+370</f>
        <v>1000</v>
      </c>
      <c r="M22" s="67">
        <f>360+270</f>
        <v>630</v>
      </c>
      <c r="N22" s="67">
        <f>210+89</f>
        <v>299</v>
      </c>
      <c r="O22" s="67">
        <f>265+650</f>
        <v>915</v>
      </c>
      <c r="P22" s="67">
        <f>630+350</f>
        <v>980</v>
      </c>
      <c r="Q22" s="67">
        <f>240+250</f>
        <v>490</v>
      </c>
      <c r="R22" s="69">
        <f>250+89</f>
        <v>339</v>
      </c>
      <c r="S22" s="69">
        <f>155+450</f>
        <v>605</v>
      </c>
      <c r="T22" s="106">
        <f>530+350</f>
        <v>880</v>
      </c>
      <c r="U22" s="106">
        <v>190</v>
      </c>
      <c r="V22" s="106">
        <f>210+119</f>
        <v>329</v>
      </c>
      <c r="W22" s="106">
        <f>265+650</f>
        <v>915</v>
      </c>
      <c r="X22" s="106">
        <f>570+240</f>
        <v>810</v>
      </c>
      <c r="Y22" s="106">
        <v>210</v>
      </c>
      <c r="Z22" s="105">
        <f>760+150</f>
        <v>910</v>
      </c>
      <c r="AA22" s="105">
        <f>365+800</f>
        <v>1165</v>
      </c>
      <c r="AB22" s="105">
        <f>570+370</f>
        <v>940</v>
      </c>
      <c r="AC22" s="105">
        <f>180+80</f>
        <v>260</v>
      </c>
      <c r="AD22" s="105">
        <f>210+760</f>
        <v>970</v>
      </c>
      <c r="AE22" s="105">
        <f>305+800</f>
        <v>1105</v>
      </c>
      <c r="AF22" s="105">
        <f>570+150</f>
        <v>720</v>
      </c>
      <c r="AG22" s="105">
        <f>200+200</f>
        <v>400</v>
      </c>
      <c r="AH22" s="105">
        <f>80+760</f>
        <v>840</v>
      </c>
      <c r="AI22" s="105">
        <f>305+500</f>
        <v>805</v>
      </c>
    </row>
    <row r="23" spans="1:35" x14ac:dyDescent="0.3">
      <c r="A23" s="100"/>
      <c r="B23" s="103" t="s">
        <v>9</v>
      </c>
      <c r="C23" s="103"/>
      <c r="D23" s="117">
        <f>SUM(E23:AI23)</f>
        <v>15450</v>
      </c>
      <c r="E23" s="67">
        <v>170</v>
      </c>
      <c r="F23" s="67">
        <f>160+230</f>
        <v>390</v>
      </c>
      <c r="G23" s="67">
        <v>800</v>
      </c>
      <c r="H23" s="67">
        <v>520</v>
      </c>
      <c r="I23" s="67">
        <f>150+120</f>
        <v>270</v>
      </c>
      <c r="J23" s="67">
        <f>100+230</f>
        <v>330</v>
      </c>
      <c r="K23" s="67">
        <v>800</v>
      </c>
      <c r="L23" s="67">
        <f>570+110</f>
        <v>680</v>
      </c>
      <c r="M23" s="67">
        <f>110+190</f>
        <v>300</v>
      </c>
      <c r="N23" s="67">
        <f>200+80</f>
        <v>280</v>
      </c>
      <c r="O23" s="67">
        <f>200+700</f>
        <v>900</v>
      </c>
      <c r="P23" s="67">
        <f>570+90</f>
        <v>660</v>
      </c>
      <c r="Q23" s="67">
        <v>270</v>
      </c>
      <c r="R23" s="69">
        <f>170+100</f>
        <v>270</v>
      </c>
      <c r="S23" s="69">
        <f>600+200</f>
        <v>800</v>
      </c>
      <c r="T23" s="105">
        <f>470+90</f>
        <v>560</v>
      </c>
      <c r="U23" s="105">
        <v>80</v>
      </c>
      <c r="V23" s="105">
        <v>300</v>
      </c>
      <c r="W23" s="105">
        <f>200+650</f>
        <v>850</v>
      </c>
      <c r="X23" s="105">
        <f>550+60</f>
        <v>610</v>
      </c>
      <c r="Y23" s="105">
        <v>120</v>
      </c>
      <c r="Z23" s="105">
        <f>140+260</f>
        <v>400</v>
      </c>
      <c r="AA23" s="105">
        <f>650+250</f>
        <v>900</v>
      </c>
      <c r="AB23" s="105">
        <f>550+90</f>
        <v>640</v>
      </c>
      <c r="AC23" s="105">
        <f>30+60</f>
        <v>90</v>
      </c>
      <c r="AD23" s="105">
        <f>260+200</f>
        <v>460</v>
      </c>
      <c r="AE23" s="105">
        <f>250+650</f>
        <v>900</v>
      </c>
      <c r="AF23" s="105">
        <f>60+550</f>
        <v>610</v>
      </c>
      <c r="AG23" s="105">
        <f>90+170</f>
        <v>260</v>
      </c>
      <c r="AH23" s="105">
        <f>70+260</f>
        <v>330</v>
      </c>
      <c r="AI23" s="105">
        <f>250+650</f>
        <v>900</v>
      </c>
    </row>
    <row r="24" spans="1:35" x14ac:dyDescent="0.3">
      <c r="A24" s="100"/>
      <c r="B24" s="100" t="s">
        <v>35</v>
      </c>
      <c r="C24" s="100"/>
      <c r="D24" s="117" t="s">
        <v>122</v>
      </c>
      <c r="E24" s="105"/>
      <c r="F24" s="105"/>
      <c r="G24" s="105"/>
      <c r="H24" s="105"/>
      <c r="I24" s="105"/>
      <c r="J24" s="105"/>
      <c r="K24" s="105"/>
      <c r="L24" s="105"/>
      <c r="M24" s="67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</row>
    <row r="25" spans="1:35" s="120" customFormat="1" x14ac:dyDescent="0.3">
      <c r="A25" s="118" t="s">
        <v>4</v>
      </c>
      <c r="B25" s="118"/>
      <c r="C25" s="118"/>
      <c r="D25" s="119">
        <f>SUM(D6:D24)</f>
        <v>279741</v>
      </c>
      <c r="E25" s="119">
        <f>SUM(E6:E24)</f>
        <v>6480</v>
      </c>
      <c r="F25" s="119">
        <f t="shared" ref="F25:AI25" si="2">SUM(F6:F24)</f>
        <v>13657</v>
      </c>
      <c r="G25" s="119">
        <f t="shared" si="2"/>
        <v>7222</v>
      </c>
      <c r="H25" s="119">
        <f t="shared" si="2"/>
        <v>6210</v>
      </c>
      <c r="I25" s="119">
        <f t="shared" si="2"/>
        <v>9300</v>
      </c>
      <c r="J25" s="119">
        <f t="shared" si="2"/>
        <v>8675</v>
      </c>
      <c r="K25" s="119">
        <f t="shared" si="2"/>
        <v>7222</v>
      </c>
      <c r="L25" s="119">
        <f t="shared" si="2"/>
        <v>9020</v>
      </c>
      <c r="M25" s="119">
        <f t="shared" si="2"/>
        <v>11130</v>
      </c>
      <c r="N25" s="119">
        <f t="shared" si="2"/>
        <v>8509</v>
      </c>
      <c r="O25" s="119">
        <f t="shared" si="2"/>
        <v>8967</v>
      </c>
      <c r="P25" s="119">
        <f t="shared" si="2"/>
        <v>8740</v>
      </c>
      <c r="Q25" s="119">
        <f t="shared" si="2"/>
        <v>10000</v>
      </c>
      <c r="R25" s="119">
        <f t="shared" si="2"/>
        <v>12632</v>
      </c>
      <c r="S25" s="119">
        <f t="shared" si="2"/>
        <v>5614</v>
      </c>
      <c r="T25" s="119">
        <f t="shared" si="2"/>
        <v>8280</v>
      </c>
      <c r="U25" s="119">
        <f t="shared" si="2"/>
        <v>3660</v>
      </c>
      <c r="V25" s="119">
        <f t="shared" si="2"/>
        <v>11109</v>
      </c>
      <c r="W25" s="119">
        <f t="shared" si="2"/>
        <v>10887</v>
      </c>
      <c r="X25" s="119">
        <f t="shared" si="2"/>
        <v>7040</v>
      </c>
      <c r="Y25" s="119">
        <f t="shared" si="2"/>
        <v>4930</v>
      </c>
      <c r="Z25" s="119">
        <f t="shared" si="2"/>
        <v>13763</v>
      </c>
      <c r="AA25" s="119">
        <f t="shared" si="2"/>
        <v>13257</v>
      </c>
      <c r="AB25" s="119">
        <f t="shared" si="2"/>
        <v>8700</v>
      </c>
      <c r="AC25" s="119">
        <f t="shared" si="2"/>
        <v>7420</v>
      </c>
      <c r="AD25" s="119">
        <f t="shared" si="2"/>
        <v>13890</v>
      </c>
      <c r="AE25" s="119">
        <f t="shared" si="2"/>
        <v>9327</v>
      </c>
      <c r="AF25" s="119">
        <f t="shared" si="2"/>
        <v>7390</v>
      </c>
      <c r="AG25" s="119">
        <f t="shared" si="2"/>
        <v>8050</v>
      </c>
      <c r="AH25" s="119">
        <f t="shared" si="2"/>
        <v>11053</v>
      </c>
      <c r="AI25" s="119">
        <f t="shared" si="2"/>
        <v>7607</v>
      </c>
    </row>
    <row r="26" spans="1:35" x14ac:dyDescent="0.3">
      <c r="A26" s="100"/>
      <c r="B26" s="100" t="s">
        <v>6</v>
      </c>
      <c r="C26" s="56" t="s">
        <v>32</v>
      </c>
      <c r="D26" s="117">
        <f>SUM(E26:AF26)</f>
        <v>0</v>
      </c>
      <c r="E26" s="67">
        <v>0</v>
      </c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</row>
    <row r="27" spans="1:35" x14ac:dyDescent="0.3">
      <c r="A27" s="100"/>
      <c r="B27" s="100"/>
      <c r="C27" s="56" t="s">
        <v>121</v>
      </c>
      <c r="D27" s="117">
        <f>SUM(E27:AI27)</f>
        <v>67158</v>
      </c>
      <c r="E27" s="67">
        <f>1500+500</f>
        <v>2000</v>
      </c>
      <c r="F27" s="67">
        <f>1350+1820</f>
        <v>3170</v>
      </c>
      <c r="G27" s="67">
        <f>1118+250</f>
        <v>1368</v>
      </c>
      <c r="H27" s="67">
        <f>150+950</f>
        <v>1100</v>
      </c>
      <c r="I27" s="67">
        <f>2200+530</f>
        <v>2730</v>
      </c>
      <c r="J27" s="67">
        <f>490+1180</f>
        <v>1670</v>
      </c>
      <c r="K27" s="67">
        <f>1118+250</f>
        <v>1368</v>
      </c>
      <c r="L27" s="67">
        <f>250+2000</f>
        <v>2250</v>
      </c>
      <c r="M27" s="67">
        <f>2400+920</f>
        <v>3320</v>
      </c>
      <c r="N27" s="67">
        <f>1118+1490</f>
        <v>2608</v>
      </c>
      <c r="O27" s="67">
        <f>1348+550</f>
        <v>1898</v>
      </c>
      <c r="P27" s="67">
        <f>250+1800</f>
        <v>2050</v>
      </c>
      <c r="Q27" s="67">
        <f>2100+760</f>
        <v>2860</v>
      </c>
      <c r="R27" s="69">
        <f>1240+1490</f>
        <v>2730</v>
      </c>
      <c r="S27" s="69">
        <f>948+350</f>
        <v>1298</v>
      </c>
      <c r="T27" s="69">
        <f>150+1800</f>
        <v>1950</v>
      </c>
      <c r="U27" s="69">
        <f>1500+200</f>
        <v>1700</v>
      </c>
      <c r="V27" s="69">
        <f>1118+1540</f>
        <v>2658</v>
      </c>
      <c r="W27" s="69">
        <f>1348+650</f>
        <v>1998</v>
      </c>
      <c r="X27" s="69">
        <f>150+1400</f>
        <v>1550</v>
      </c>
      <c r="Y27" s="69">
        <f>1500+250</f>
        <v>1750</v>
      </c>
      <c r="Z27" s="69">
        <f>1460+2040</f>
        <v>3500</v>
      </c>
      <c r="AA27" s="69">
        <f>1778+650</f>
        <v>2428</v>
      </c>
      <c r="AB27" s="69">
        <f>150+1900</f>
        <v>2050</v>
      </c>
      <c r="AC27" s="69">
        <f>1350+600</f>
        <v>1950</v>
      </c>
      <c r="AD27" s="69">
        <f>1118+2040</f>
        <v>3158</v>
      </c>
      <c r="AE27" s="69">
        <f>1278+650</f>
        <v>1928</v>
      </c>
      <c r="AF27" s="69">
        <f>250+1050</f>
        <v>1300</v>
      </c>
      <c r="AG27" s="69">
        <f>1650+740</f>
        <v>2390</v>
      </c>
      <c r="AH27" s="69">
        <f>860+2040</f>
        <v>2900</v>
      </c>
      <c r="AI27" s="69">
        <f>1278+250</f>
        <v>1528</v>
      </c>
    </row>
    <row r="28" spans="1:35" x14ac:dyDescent="0.3">
      <c r="A28" s="97" t="s">
        <v>4</v>
      </c>
      <c r="B28" s="97"/>
      <c r="C28" s="97"/>
      <c r="D28" s="117">
        <f>SUM(E28:AI28)</f>
        <v>67158</v>
      </c>
      <c r="E28" s="112">
        <f t="shared" ref="E28:AI28" si="3">SUM(E26:E27)</f>
        <v>2000</v>
      </c>
      <c r="F28" s="112">
        <f t="shared" si="3"/>
        <v>3170</v>
      </c>
      <c r="G28" s="112">
        <f t="shared" si="3"/>
        <v>1368</v>
      </c>
      <c r="H28" s="112">
        <f t="shared" si="3"/>
        <v>1100</v>
      </c>
      <c r="I28" s="112">
        <f t="shared" si="3"/>
        <v>2730</v>
      </c>
      <c r="J28" s="112">
        <f t="shared" si="3"/>
        <v>1670</v>
      </c>
      <c r="K28" s="112">
        <f t="shared" si="3"/>
        <v>1368</v>
      </c>
      <c r="L28" s="112">
        <f t="shared" si="3"/>
        <v>2250</v>
      </c>
      <c r="M28" s="112">
        <f t="shared" si="3"/>
        <v>3320</v>
      </c>
      <c r="N28" s="112">
        <f t="shared" si="3"/>
        <v>2608</v>
      </c>
      <c r="O28" s="112">
        <f t="shared" si="3"/>
        <v>1898</v>
      </c>
      <c r="P28" s="112">
        <f t="shared" si="3"/>
        <v>2050</v>
      </c>
      <c r="Q28" s="112">
        <f t="shared" si="3"/>
        <v>2860</v>
      </c>
      <c r="R28" s="112">
        <f t="shared" si="3"/>
        <v>2730</v>
      </c>
      <c r="S28" s="112">
        <f t="shared" si="3"/>
        <v>1298</v>
      </c>
      <c r="T28" s="112">
        <f t="shared" si="3"/>
        <v>1950</v>
      </c>
      <c r="U28" s="112">
        <f t="shared" si="3"/>
        <v>1700</v>
      </c>
      <c r="V28" s="112">
        <f t="shared" si="3"/>
        <v>2658</v>
      </c>
      <c r="W28" s="112">
        <f t="shared" si="3"/>
        <v>1998</v>
      </c>
      <c r="X28" s="112">
        <f t="shared" si="3"/>
        <v>1550</v>
      </c>
      <c r="Y28" s="112">
        <f t="shared" si="3"/>
        <v>1750</v>
      </c>
      <c r="Z28" s="112">
        <f t="shared" si="3"/>
        <v>3500</v>
      </c>
      <c r="AA28" s="112">
        <f t="shared" si="3"/>
        <v>2428</v>
      </c>
      <c r="AB28" s="112">
        <f t="shared" si="3"/>
        <v>2050</v>
      </c>
      <c r="AC28" s="112">
        <f t="shared" si="3"/>
        <v>1950</v>
      </c>
      <c r="AD28" s="112">
        <f t="shared" si="3"/>
        <v>3158</v>
      </c>
      <c r="AE28" s="112">
        <f t="shared" si="3"/>
        <v>1928</v>
      </c>
      <c r="AF28" s="112">
        <f t="shared" si="3"/>
        <v>1300</v>
      </c>
      <c r="AG28" s="112">
        <f t="shared" si="3"/>
        <v>2390</v>
      </c>
      <c r="AH28" s="112">
        <f t="shared" si="3"/>
        <v>2900</v>
      </c>
      <c r="AI28" s="112">
        <f t="shared" si="3"/>
        <v>1528</v>
      </c>
    </row>
    <row r="29" spans="1:35" s="120" customFormat="1" x14ac:dyDescent="0.3">
      <c r="A29" s="121" t="s">
        <v>87</v>
      </c>
      <c r="B29" s="121"/>
      <c r="C29" s="121"/>
      <c r="D29" s="122">
        <f>SUM(E29:AI29)</f>
        <v>346899</v>
      </c>
      <c r="E29" s="123">
        <f>SUM(E25,E28)</f>
        <v>8480</v>
      </c>
      <c r="F29" s="123">
        <f t="shared" ref="F29:AH29" si="4">SUM(F25,F28)</f>
        <v>16827</v>
      </c>
      <c r="G29" s="123">
        <f t="shared" si="4"/>
        <v>8590</v>
      </c>
      <c r="H29" s="123">
        <f t="shared" si="4"/>
        <v>7310</v>
      </c>
      <c r="I29" s="123">
        <f t="shared" si="4"/>
        <v>12030</v>
      </c>
      <c r="J29" s="123">
        <f t="shared" si="4"/>
        <v>10345</v>
      </c>
      <c r="K29" s="123">
        <f t="shared" si="4"/>
        <v>8590</v>
      </c>
      <c r="L29" s="123">
        <f t="shared" si="4"/>
        <v>11270</v>
      </c>
      <c r="M29" s="123">
        <f t="shared" si="4"/>
        <v>14450</v>
      </c>
      <c r="N29" s="123">
        <f t="shared" si="4"/>
        <v>11117</v>
      </c>
      <c r="O29" s="123">
        <f t="shared" si="4"/>
        <v>10865</v>
      </c>
      <c r="P29" s="123">
        <f t="shared" si="4"/>
        <v>10790</v>
      </c>
      <c r="Q29" s="123">
        <f t="shared" si="4"/>
        <v>12860</v>
      </c>
      <c r="R29" s="123">
        <f t="shared" si="4"/>
        <v>15362</v>
      </c>
      <c r="S29" s="123">
        <f t="shared" si="4"/>
        <v>6912</v>
      </c>
      <c r="T29" s="123">
        <f t="shared" si="4"/>
        <v>10230</v>
      </c>
      <c r="U29" s="123">
        <f t="shared" si="4"/>
        <v>5360</v>
      </c>
      <c r="V29" s="123">
        <f t="shared" si="4"/>
        <v>13767</v>
      </c>
      <c r="W29" s="123">
        <f t="shared" si="4"/>
        <v>12885</v>
      </c>
      <c r="X29" s="123">
        <f t="shared" si="4"/>
        <v>8590</v>
      </c>
      <c r="Y29" s="123">
        <f t="shared" si="4"/>
        <v>6680</v>
      </c>
      <c r="Z29" s="123">
        <f t="shared" si="4"/>
        <v>17263</v>
      </c>
      <c r="AA29" s="123">
        <f t="shared" si="4"/>
        <v>15685</v>
      </c>
      <c r="AB29" s="123">
        <f t="shared" si="4"/>
        <v>10750</v>
      </c>
      <c r="AC29" s="123">
        <f t="shared" si="4"/>
        <v>9370</v>
      </c>
      <c r="AD29" s="123">
        <f t="shared" si="4"/>
        <v>17048</v>
      </c>
      <c r="AE29" s="123">
        <f t="shared" si="4"/>
        <v>11255</v>
      </c>
      <c r="AF29" s="123">
        <f t="shared" si="4"/>
        <v>8690</v>
      </c>
      <c r="AG29" s="123">
        <f t="shared" si="4"/>
        <v>10440</v>
      </c>
      <c r="AH29" s="123">
        <f t="shared" si="4"/>
        <v>13953</v>
      </c>
      <c r="AI29" s="123">
        <f>SUM(AI25,AI28)</f>
        <v>9135</v>
      </c>
    </row>
    <row r="30" spans="1:35" x14ac:dyDescent="0.3">
      <c r="D30" s="87"/>
      <c r="E30" s="87"/>
      <c r="F30" s="87">
        <f>SUM(E29:F29)</f>
        <v>25307</v>
      </c>
      <c r="G30" s="87"/>
      <c r="H30" s="87"/>
      <c r="I30" s="87"/>
      <c r="J30" s="87"/>
      <c r="K30" s="87"/>
      <c r="L30" s="87"/>
      <c r="M30" s="87">
        <f>SUM(G29:M29)</f>
        <v>72585</v>
      </c>
      <c r="N30" s="87"/>
      <c r="O30" s="87"/>
      <c r="P30" s="87"/>
      <c r="Q30" s="87"/>
      <c r="R30" s="87"/>
      <c r="S30" s="87"/>
      <c r="T30" s="87">
        <f>SUM(N29:T29)</f>
        <v>78136</v>
      </c>
      <c r="U30" s="87"/>
      <c r="V30" s="87"/>
      <c r="W30" s="87"/>
      <c r="X30" s="87"/>
      <c r="Y30" s="87"/>
      <c r="Z30" s="87"/>
      <c r="AA30" s="87">
        <f>SUM(U29:AA29)</f>
        <v>80230</v>
      </c>
      <c r="AB30" s="87"/>
      <c r="AC30" s="87"/>
      <c r="AD30" s="87"/>
      <c r="AE30" s="87"/>
      <c r="AF30" s="87"/>
      <c r="AG30" s="87"/>
      <c r="AH30" s="87">
        <f>SUM(AB29:AH29)</f>
        <v>81506</v>
      </c>
      <c r="AI30" s="87"/>
    </row>
  </sheetData>
  <mergeCells count="31">
    <mergeCell ref="A28:C28"/>
    <mergeCell ref="A29:C29"/>
    <mergeCell ref="B21:C21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1:D1"/>
    <mergeCell ref="H1:M2"/>
    <mergeCell ref="A3:C3"/>
    <mergeCell ref="D3:D4"/>
    <mergeCell ref="A4:C4"/>
    <mergeCell ref="A5:A24"/>
    <mergeCell ref="B5:C5"/>
    <mergeCell ref="B6:C6"/>
    <mergeCell ref="B7:C7"/>
    <mergeCell ref="B8:C8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zoomScale="85" zoomScaleNormal="85" workbookViewId="0">
      <selection activeCell="T40" sqref="T40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25" style="44" bestFit="1" customWidth="1"/>
    <col min="5" max="5" width="9.125" style="44" bestFit="1" customWidth="1"/>
    <col min="6" max="8" width="8.875" style="44" bestFit="1" customWidth="1"/>
    <col min="9" max="10" width="9.125" style="44" bestFit="1" customWidth="1"/>
    <col min="11" max="12" width="8.875" style="44" bestFit="1" customWidth="1"/>
    <col min="13" max="13" width="9.125" style="44" bestFit="1" customWidth="1"/>
    <col min="14" max="14" width="8.875" style="44" bestFit="1" customWidth="1"/>
    <col min="15" max="16" width="9.125" style="44" bestFit="1" customWidth="1"/>
    <col min="17" max="18" width="8.875" style="44" bestFit="1" customWidth="1"/>
    <col min="19" max="19" width="9.125" style="44" bestFit="1" customWidth="1"/>
    <col min="20" max="31" width="8.875" style="44" bestFit="1" customWidth="1"/>
    <col min="32" max="32" width="8.875" style="44" customWidth="1"/>
    <col min="33" max="35" width="8.875" style="44" bestFit="1" customWidth="1"/>
    <col min="36" max="16384" width="9" style="44"/>
  </cols>
  <sheetData>
    <row r="1" spans="1:35" ht="26.25" x14ac:dyDescent="0.3">
      <c r="A1" s="94" t="s">
        <v>139</v>
      </c>
      <c r="B1" s="94"/>
      <c r="C1" s="94"/>
      <c r="D1" s="94"/>
      <c r="H1" s="95"/>
      <c r="I1" s="95"/>
      <c r="J1" s="95"/>
      <c r="K1" s="95"/>
      <c r="L1" s="95"/>
      <c r="M1" s="95"/>
    </row>
    <row r="2" spans="1:35" ht="26.25" x14ac:dyDescent="0.3">
      <c r="A2" s="47"/>
      <c r="B2" s="48"/>
      <c r="C2" s="48"/>
      <c r="D2" s="96"/>
      <c r="E2" s="48"/>
      <c r="F2" s="48"/>
      <c r="G2" s="48"/>
      <c r="H2" s="49"/>
      <c r="I2" s="49"/>
      <c r="J2" s="49"/>
      <c r="K2" s="49"/>
      <c r="L2" s="49"/>
      <c r="M2" s="49"/>
      <c r="N2" s="48"/>
      <c r="O2" s="48"/>
      <c r="P2" s="48"/>
      <c r="Q2" s="48"/>
      <c r="R2" s="48"/>
      <c r="S2" s="48"/>
    </row>
    <row r="3" spans="1:35" x14ac:dyDescent="0.3">
      <c r="A3" s="97" t="s">
        <v>19</v>
      </c>
      <c r="B3" s="97"/>
      <c r="C3" s="97"/>
      <c r="D3" s="98" t="s">
        <v>5</v>
      </c>
      <c r="E3" s="99">
        <v>1</v>
      </c>
      <c r="F3" s="99">
        <v>2</v>
      </c>
      <c r="G3" s="99">
        <v>3</v>
      </c>
      <c r="H3" s="99">
        <v>4</v>
      </c>
      <c r="I3" s="99">
        <v>5</v>
      </c>
      <c r="J3" s="99">
        <v>6</v>
      </c>
      <c r="K3" s="99">
        <v>7</v>
      </c>
      <c r="L3" s="99">
        <v>8</v>
      </c>
      <c r="M3" s="99">
        <v>9</v>
      </c>
      <c r="N3" s="99">
        <v>10</v>
      </c>
      <c r="O3" s="99">
        <v>11</v>
      </c>
      <c r="P3" s="99">
        <v>12</v>
      </c>
      <c r="Q3" s="99">
        <v>13</v>
      </c>
      <c r="R3" s="99">
        <v>14</v>
      </c>
      <c r="S3" s="99">
        <v>15</v>
      </c>
      <c r="T3" s="99">
        <v>16</v>
      </c>
      <c r="U3" s="99">
        <v>17</v>
      </c>
      <c r="V3" s="99">
        <v>18</v>
      </c>
      <c r="W3" s="99">
        <v>19</v>
      </c>
      <c r="X3" s="99">
        <v>20</v>
      </c>
      <c r="Y3" s="99">
        <v>21</v>
      </c>
      <c r="Z3" s="99">
        <v>22</v>
      </c>
      <c r="AA3" s="99">
        <v>23</v>
      </c>
      <c r="AB3" s="99">
        <v>24</v>
      </c>
      <c r="AC3" s="99">
        <v>25</v>
      </c>
      <c r="AD3" s="99">
        <v>26</v>
      </c>
      <c r="AE3" s="99">
        <v>27</v>
      </c>
      <c r="AF3" s="99">
        <v>28</v>
      </c>
      <c r="AG3" s="99">
        <v>29</v>
      </c>
      <c r="AH3" s="99">
        <v>30</v>
      </c>
      <c r="AI3" s="99">
        <v>31</v>
      </c>
    </row>
    <row r="4" spans="1:35" x14ac:dyDescent="0.3">
      <c r="A4" s="97" t="s">
        <v>18</v>
      </c>
      <c r="B4" s="97"/>
      <c r="C4" s="97"/>
      <c r="D4" s="98"/>
      <c r="E4" s="56" t="s">
        <v>56</v>
      </c>
      <c r="F4" s="56" t="s">
        <v>57</v>
      </c>
      <c r="G4" s="56" t="s">
        <v>58</v>
      </c>
      <c r="H4" s="56" t="s">
        <v>59</v>
      </c>
      <c r="I4" s="56" t="s">
        <v>60</v>
      </c>
      <c r="J4" s="56" t="s">
        <v>54</v>
      </c>
      <c r="K4" s="56" t="s">
        <v>55</v>
      </c>
      <c r="L4" s="56" t="s">
        <v>140</v>
      </c>
      <c r="M4" s="56" t="s">
        <v>57</v>
      </c>
      <c r="N4" s="56" t="s">
        <v>58</v>
      </c>
      <c r="O4" s="56" t="s">
        <v>59</v>
      </c>
      <c r="P4" s="56" t="s">
        <v>60</v>
      </c>
      <c r="Q4" s="56" t="s">
        <v>54</v>
      </c>
      <c r="R4" s="56" t="s">
        <v>55</v>
      </c>
      <c r="S4" s="56" t="s">
        <v>140</v>
      </c>
      <c r="T4" s="56" t="s">
        <v>57</v>
      </c>
      <c r="U4" s="56" t="s">
        <v>58</v>
      </c>
      <c r="V4" s="56" t="s">
        <v>59</v>
      </c>
      <c r="W4" s="56" t="s">
        <v>60</v>
      </c>
      <c r="X4" s="56" t="s">
        <v>54</v>
      </c>
      <c r="Y4" s="56" t="s">
        <v>55</v>
      </c>
      <c r="Z4" s="56" t="s">
        <v>140</v>
      </c>
      <c r="AA4" s="56" t="s">
        <v>57</v>
      </c>
      <c r="AB4" s="56" t="s">
        <v>58</v>
      </c>
      <c r="AC4" s="56" t="s">
        <v>59</v>
      </c>
      <c r="AD4" s="56" t="s">
        <v>60</v>
      </c>
      <c r="AE4" s="56" t="s">
        <v>54</v>
      </c>
      <c r="AF4" s="56" t="s">
        <v>55</v>
      </c>
      <c r="AG4" s="56" t="s">
        <v>140</v>
      </c>
      <c r="AH4" s="56" t="s">
        <v>141</v>
      </c>
      <c r="AI4" s="56"/>
    </row>
    <row r="5" spans="1:35" ht="33" x14ac:dyDescent="0.3">
      <c r="A5" s="100" t="s">
        <v>31</v>
      </c>
      <c r="B5" s="100" t="s">
        <v>30</v>
      </c>
      <c r="C5" s="100"/>
      <c r="D5" s="101"/>
      <c r="E5" s="102" t="s">
        <v>142</v>
      </c>
      <c r="F5" s="61" t="s">
        <v>143</v>
      </c>
      <c r="G5" s="61" t="s">
        <v>144</v>
      </c>
      <c r="H5" s="61" t="s">
        <v>143</v>
      </c>
      <c r="I5" s="61" t="s">
        <v>145</v>
      </c>
      <c r="J5" s="61" t="s">
        <v>111</v>
      </c>
      <c r="K5" s="61" t="s">
        <v>146</v>
      </c>
      <c r="L5" s="61" t="s">
        <v>145</v>
      </c>
      <c r="M5" s="61" t="s">
        <v>145</v>
      </c>
      <c r="N5" s="61" t="s">
        <v>147</v>
      </c>
      <c r="O5" s="61" t="s">
        <v>148</v>
      </c>
      <c r="P5" s="61" t="s">
        <v>111</v>
      </c>
      <c r="Q5" s="61" t="s">
        <v>145</v>
      </c>
      <c r="R5" s="61" t="s">
        <v>111</v>
      </c>
      <c r="S5" s="61" t="s">
        <v>149</v>
      </c>
      <c r="T5" s="102" t="s">
        <v>145</v>
      </c>
      <c r="U5" s="102" t="s">
        <v>150</v>
      </c>
      <c r="V5" s="102" t="s">
        <v>151</v>
      </c>
      <c r="W5" s="102" t="s">
        <v>152</v>
      </c>
      <c r="X5" s="102" t="s">
        <v>111</v>
      </c>
      <c r="Y5" s="102" t="s">
        <v>145</v>
      </c>
      <c r="Z5" s="102" t="s">
        <v>153</v>
      </c>
      <c r="AA5" s="102" t="s">
        <v>154</v>
      </c>
      <c r="AB5" s="102" t="s">
        <v>111</v>
      </c>
      <c r="AC5" s="102" t="s">
        <v>150</v>
      </c>
      <c r="AD5" s="102" t="s">
        <v>155</v>
      </c>
      <c r="AE5" s="102" t="s">
        <v>156</v>
      </c>
      <c r="AF5" s="102" t="s">
        <v>111</v>
      </c>
      <c r="AG5" s="102" t="s">
        <v>146</v>
      </c>
      <c r="AH5" s="102" t="s">
        <v>157</v>
      </c>
      <c r="AI5" s="102"/>
    </row>
    <row r="6" spans="1:35" x14ac:dyDescent="0.3">
      <c r="A6" s="100"/>
      <c r="B6" s="103" t="s">
        <v>21</v>
      </c>
      <c r="C6" s="103"/>
      <c r="D6" s="117">
        <f>SUM(E6:AI6)</f>
        <v>800</v>
      </c>
      <c r="E6" s="67">
        <v>100</v>
      </c>
      <c r="F6" s="67">
        <v>0</v>
      </c>
      <c r="G6" s="67">
        <v>0</v>
      </c>
      <c r="H6" s="67">
        <v>0</v>
      </c>
      <c r="I6" s="67">
        <v>100</v>
      </c>
      <c r="J6" s="67">
        <v>0</v>
      </c>
      <c r="K6" s="67">
        <v>0</v>
      </c>
      <c r="L6" s="67">
        <v>0</v>
      </c>
      <c r="M6" s="67">
        <v>100</v>
      </c>
      <c r="N6" s="67">
        <v>0</v>
      </c>
      <c r="O6" s="68">
        <v>0</v>
      </c>
      <c r="P6" s="67">
        <v>0</v>
      </c>
      <c r="Q6" s="67">
        <v>100</v>
      </c>
      <c r="R6" s="69">
        <v>0</v>
      </c>
      <c r="S6" s="69">
        <v>0</v>
      </c>
      <c r="T6" s="105">
        <v>0</v>
      </c>
      <c r="U6" s="105">
        <v>100</v>
      </c>
      <c r="V6" s="105">
        <v>0</v>
      </c>
      <c r="W6" s="105">
        <v>0</v>
      </c>
      <c r="X6" s="105">
        <v>0</v>
      </c>
      <c r="Y6" s="105">
        <v>100</v>
      </c>
      <c r="Z6" s="105">
        <v>0</v>
      </c>
      <c r="AA6" s="105">
        <v>0</v>
      </c>
      <c r="AB6" s="105">
        <v>0</v>
      </c>
      <c r="AC6" s="105">
        <v>100</v>
      </c>
      <c r="AD6" s="105">
        <v>0</v>
      </c>
      <c r="AE6" s="105">
        <v>0</v>
      </c>
      <c r="AF6" s="105">
        <v>0</v>
      </c>
      <c r="AG6" s="105">
        <v>100</v>
      </c>
      <c r="AH6" s="105">
        <v>0</v>
      </c>
      <c r="AI6" s="105"/>
    </row>
    <row r="7" spans="1:35" x14ac:dyDescent="0.3">
      <c r="A7" s="100"/>
      <c r="B7" s="103" t="s">
        <v>22</v>
      </c>
      <c r="C7" s="103"/>
      <c r="D7" s="117">
        <f t="shared" ref="D7:D23" si="0">SUM(E7:AI7)</f>
        <v>55421</v>
      </c>
      <c r="E7" s="67">
        <v>2700</v>
      </c>
      <c r="F7" s="67">
        <v>2250</v>
      </c>
      <c r="G7" s="67">
        <v>633</v>
      </c>
      <c r="H7" s="67">
        <v>850</v>
      </c>
      <c r="I7" s="67">
        <v>3100</v>
      </c>
      <c r="J7" s="67">
        <v>4050</v>
      </c>
      <c r="K7" s="67">
        <v>753</v>
      </c>
      <c r="L7" s="67">
        <v>750</v>
      </c>
      <c r="M7" s="67">
        <v>2300</v>
      </c>
      <c r="N7" s="67">
        <v>1450</v>
      </c>
      <c r="O7" s="67">
        <v>2233</v>
      </c>
      <c r="P7" s="67">
        <v>1550</v>
      </c>
      <c r="Q7" s="67">
        <v>2000</v>
      </c>
      <c r="R7" s="69">
        <v>2090</v>
      </c>
      <c r="S7" s="69">
        <v>2233</v>
      </c>
      <c r="T7" s="105">
        <v>1050</v>
      </c>
      <c r="U7" s="105">
        <v>2000</v>
      </c>
      <c r="V7" s="105">
        <v>1450</v>
      </c>
      <c r="W7" s="105">
        <v>2353</v>
      </c>
      <c r="X7" s="105">
        <v>2330</v>
      </c>
      <c r="Y7" s="105">
        <v>1900</v>
      </c>
      <c r="Z7" s="105">
        <v>2040</v>
      </c>
      <c r="AA7" s="105">
        <v>1753</v>
      </c>
      <c r="AB7" s="105">
        <v>1050</v>
      </c>
      <c r="AC7" s="105">
        <v>2000</v>
      </c>
      <c r="AD7" s="105">
        <v>2430</v>
      </c>
      <c r="AE7" s="105">
        <v>2353</v>
      </c>
      <c r="AF7" s="105">
        <v>750</v>
      </c>
      <c r="AG7" s="105">
        <v>1700</v>
      </c>
      <c r="AH7" s="105">
        <v>1320</v>
      </c>
      <c r="AI7" s="105"/>
    </row>
    <row r="8" spans="1:35" x14ac:dyDescent="0.3">
      <c r="A8" s="100"/>
      <c r="B8" s="103" t="s">
        <v>24</v>
      </c>
      <c r="C8" s="103"/>
      <c r="D8" s="117">
        <f t="shared" si="0"/>
        <v>60504</v>
      </c>
      <c r="E8" s="67">
        <v>790</v>
      </c>
      <c r="F8" s="67">
        <v>3130</v>
      </c>
      <c r="G8" s="67">
        <v>1061</v>
      </c>
      <c r="H8" s="67">
        <v>1780</v>
      </c>
      <c r="I8" s="67">
        <v>1290</v>
      </c>
      <c r="J8" s="67">
        <v>3650</v>
      </c>
      <c r="K8" s="67">
        <v>2980</v>
      </c>
      <c r="L8" s="67">
        <v>1780</v>
      </c>
      <c r="M8" s="67">
        <v>1190</v>
      </c>
      <c r="N8" s="67">
        <v>1610</v>
      </c>
      <c r="O8" s="67">
        <v>1761</v>
      </c>
      <c r="P8" s="67">
        <v>2500</v>
      </c>
      <c r="Q8" s="67">
        <v>1190</v>
      </c>
      <c r="R8" s="69">
        <v>2360</v>
      </c>
      <c r="S8" s="69">
        <v>3520</v>
      </c>
      <c r="T8" s="106">
        <v>1800</v>
      </c>
      <c r="U8" s="106">
        <v>990</v>
      </c>
      <c r="V8" s="106">
        <v>2760</v>
      </c>
      <c r="W8" s="106">
        <v>2861</v>
      </c>
      <c r="X8" s="106">
        <v>2400</v>
      </c>
      <c r="Y8" s="106">
        <v>890</v>
      </c>
      <c r="Z8" s="106">
        <v>2680</v>
      </c>
      <c r="AA8" s="106">
        <v>2740</v>
      </c>
      <c r="AB8" s="106">
        <v>1620</v>
      </c>
      <c r="AC8" s="106">
        <v>1320</v>
      </c>
      <c r="AD8" s="106">
        <v>4130</v>
      </c>
      <c r="AE8" s="106">
        <v>1061</v>
      </c>
      <c r="AF8" s="106">
        <v>1250</v>
      </c>
      <c r="AG8" s="105">
        <v>620</v>
      </c>
      <c r="AH8" s="105">
        <v>2790</v>
      </c>
      <c r="AI8" s="105"/>
    </row>
    <row r="9" spans="1:35" x14ac:dyDescent="0.3">
      <c r="A9" s="100"/>
      <c r="B9" s="103" t="s">
        <v>28</v>
      </c>
      <c r="C9" s="103"/>
      <c r="D9" s="117">
        <f t="shared" si="0"/>
        <v>56421</v>
      </c>
      <c r="E9" s="67">
        <v>1070</v>
      </c>
      <c r="F9" s="67">
        <v>1470</v>
      </c>
      <c r="G9" s="67">
        <v>1211</v>
      </c>
      <c r="H9" s="67">
        <v>1911</v>
      </c>
      <c r="I9" s="67">
        <f>1550+450</f>
        <v>2000</v>
      </c>
      <c r="J9" s="67">
        <f>500+1850</f>
        <v>2350</v>
      </c>
      <c r="K9" s="67">
        <v>1330</v>
      </c>
      <c r="L9" s="67">
        <v>2031</v>
      </c>
      <c r="M9" s="67">
        <v>1660</v>
      </c>
      <c r="N9" s="67">
        <v>1110</v>
      </c>
      <c r="O9" s="67">
        <f>1591+1525</f>
        <v>3116</v>
      </c>
      <c r="P9" s="67">
        <f>1831+1400</f>
        <v>3231</v>
      </c>
      <c r="Q9" s="67">
        <v>1690</v>
      </c>
      <c r="R9" s="69">
        <v>1070</v>
      </c>
      <c r="S9" s="69">
        <f>1525+1470</f>
        <v>2995</v>
      </c>
      <c r="T9" s="106">
        <v>2331</v>
      </c>
      <c r="U9" s="106">
        <f>850+460</f>
        <v>1310</v>
      </c>
      <c r="V9" s="106">
        <v>1220</v>
      </c>
      <c r="W9" s="106">
        <f>2491+1760</f>
        <v>4251</v>
      </c>
      <c r="X9" s="106">
        <f>1571+1690</f>
        <v>3261</v>
      </c>
      <c r="Y9" s="106">
        <f>370+850</f>
        <v>1220</v>
      </c>
      <c r="Z9" s="106">
        <v>1130</v>
      </c>
      <c r="AA9" s="106">
        <v>2470</v>
      </c>
      <c r="AB9" s="106">
        <v>2111</v>
      </c>
      <c r="AC9" s="106">
        <f>370+1040</f>
        <v>1410</v>
      </c>
      <c r="AD9" s="106">
        <f>1150+380</f>
        <v>1530</v>
      </c>
      <c r="AE9" s="106">
        <f>631+1760</f>
        <v>2391</v>
      </c>
      <c r="AF9" s="106">
        <v>1521</v>
      </c>
      <c r="AG9" s="106">
        <f>840+320</f>
        <v>1160</v>
      </c>
      <c r="AH9" s="106">
        <f>290+570</f>
        <v>860</v>
      </c>
      <c r="AI9" s="106"/>
    </row>
    <row r="10" spans="1:35" x14ac:dyDescent="0.3">
      <c r="A10" s="100"/>
      <c r="B10" s="107" t="s">
        <v>17</v>
      </c>
      <c r="C10" s="107"/>
      <c r="D10" s="117">
        <f t="shared" si="0"/>
        <v>0</v>
      </c>
      <c r="E10" s="106"/>
      <c r="F10" s="67"/>
      <c r="G10" s="106"/>
      <c r="H10" s="106"/>
      <c r="I10" s="67"/>
      <c r="J10" s="106"/>
      <c r="K10" s="106"/>
      <c r="L10" s="106"/>
      <c r="M10" s="106"/>
      <c r="N10" s="67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</row>
    <row r="11" spans="1:35" x14ac:dyDescent="0.3">
      <c r="A11" s="100"/>
      <c r="B11" s="107" t="s">
        <v>38</v>
      </c>
      <c r="C11" s="107"/>
      <c r="D11" s="117">
        <f t="shared" si="0"/>
        <v>0</v>
      </c>
      <c r="E11" s="106"/>
      <c r="F11" s="67"/>
      <c r="G11" s="106"/>
      <c r="H11" s="106"/>
      <c r="I11" s="67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</row>
    <row r="12" spans="1:35" x14ac:dyDescent="0.3">
      <c r="A12" s="100"/>
      <c r="B12" s="107" t="s">
        <v>116</v>
      </c>
      <c r="C12" s="107"/>
      <c r="D12" s="117">
        <f t="shared" si="0"/>
        <v>0</v>
      </c>
      <c r="E12" s="106"/>
      <c r="F12" s="67"/>
      <c r="G12" s="106"/>
      <c r="H12" s="106"/>
      <c r="I12" s="67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5" x14ac:dyDescent="0.3">
      <c r="A13" s="100"/>
      <c r="B13" s="107" t="s">
        <v>46</v>
      </c>
      <c r="C13" s="107"/>
      <c r="D13" s="117">
        <f t="shared" si="0"/>
        <v>0</v>
      </c>
      <c r="E13" s="106"/>
      <c r="F13" s="67"/>
      <c r="G13" s="106"/>
      <c r="H13" s="106"/>
      <c r="I13" s="67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</row>
    <row r="14" spans="1:35" x14ac:dyDescent="0.3">
      <c r="A14" s="100"/>
      <c r="B14" s="107" t="s">
        <v>3</v>
      </c>
      <c r="C14" s="107"/>
      <c r="D14" s="117">
        <f t="shared" si="0"/>
        <v>0</v>
      </c>
      <c r="E14" s="106"/>
      <c r="F14" s="67"/>
      <c r="G14" s="106"/>
      <c r="H14" s="106"/>
      <c r="I14" s="67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</row>
    <row r="15" spans="1:35" x14ac:dyDescent="0.3">
      <c r="A15" s="100"/>
      <c r="B15" s="107" t="s">
        <v>158</v>
      </c>
      <c r="C15" s="107"/>
      <c r="D15" s="117">
        <f t="shared" si="0"/>
        <v>0</v>
      </c>
      <c r="E15" s="106"/>
      <c r="F15" s="67"/>
      <c r="G15" s="106"/>
      <c r="H15" s="106"/>
      <c r="I15" s="67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</row>
    <row r="16" spans="1:35" x14ac:dyDescent="0.3">
      <c r="A16" s="100"/>
      <c r="B16" s="107" t="s">
        <v>118</v>
      </c>
      <c r="C16" s="107"/>
      <c r="D16" s="117">
        <f t="shared" si="0"/>
        <v>0</v>
      </c>
      <c r="E16" s="106"/>
      <c r="F16" s="67"/>
      <c r="G16" s="106"/>
      <c r="H16" s="106"/>
      <c r="I16" s="67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</row>
    <row r="17" spans="1:35" x14ac:dyDescent="0.3">
      <c r="A17" s="100"/>
      <c r="B17" s="107" t="s">
        <v>13</v>
      </c>
      <c r="C17" s="107"/>
      <c r="D17" s="117">
        <f t="shared" si="0"/>
        <v>0</v>
      </c>
      <c r="E17" s="106"/>
      <c r="F17" s="67"/>
      <c r="G17" s="106"/>
      <c r="H17" s="106"/>
      <c r="I17" s="67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</row>
    <row r="18" spans="1:35" x14ac:dyDescent="0.3">
      <c r="A18" s="100"/>
      <c r="B18" s="107" t="s">
        <v>26</v>
      </c>
      <c r="C18" s="107"/>
      <c r="D18" s="117">
        <f t="shared" si="0"/>
        <v>0</v>
      </c>
      <c r="E18" s="106"/>
      <c r="F18" s="67"/>
      <c r="G18" s="106"/>
      <c r="H18" s="106"/>
      <c r="I18" s="67"/>
      <c r="J18" s="106"/>
      <c r="K18" s="106"/>
      <c r="L18" s="67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</row>
    <row r="19" spans="1:35" x14ac:dyDescent="0.3">
      <c r="A19" s="100"/>
      <c r="B19" s="103" t="s">
        <v>1</v>
      </c>
      <c r="C19" s="103"/>
      <c r="D19" s="117">
        <f t="shared" si="0"/>
        <v>74340</v>
      </c>
      <c r="E19" s="67">
        <v>1670</v>
      </c>
      <c r="F19" s="67">
        <v>2240</v>
      </c>
      <c r="G19" s="67">
        <v>875</v>
      </c>
      <c r="H19" s="67">
        <f>1740+650</f>
        <v>2390</v>
      </c>
      <c r="I19" s="67">
        <f>870+1800</f>
        <v>2670</v>
      </c>
      <c r="J19" s="67">
        <f>1580+1360</f>
        <v>2940</v>
      </c>
      <c r="K19" s="67">
        <v>1420</v>
      </c>
      <c r="L19" s="67">
        <v>2390</v>
      </c>
      <c r="M19" s="67">
        <v>2570</v>
      </c>
      <c r="N19" s="67">
        <v>1040</v>
      </c>
      <c r="O19" s="67">
        <f>2640+795</f>
        <v>3435</v>
      </c>
      <c r="P19" s="67">
        <f>2680+1650</f>
        <v>4330</v>
      </c>
      <c r="Q19" s="67">
        <v>2470</v>
      </c>
      <c r="R19" s="69">
        <v>1850</v>
      </c>
      <c r="S19" s="69">
        <f>820+2640</f>
        <v>3460</v>
      </c>
      <c r="T19" s="106">
        <v>3140</v>
      </c>
      <c r="U19" s="106">
        <v>2270</v>
      </c>
      <c r="V19" s="106">
        <f>560+1430</f>
        <v>1990</v>
      </c>
      <c r="W19" s="106">
        <f>1295+2420</f>
        <v>3715</v>
      </c>
      <c r="X19" s="106">
        <f>2490+2350</f>
        <v>4840</v>
      </c>
      <c r="Y19" s="106">
        <f>670+1900</f>
        <v>2570</v>
      </c>
      <c r="Z19" s="106">
        <v>1980</v>
      </c>
      <c r="AA19" s="106">
        <v>1960</v>
      </c>
      <c r="AB19" s="106">
        <f>1520+1050</f>
        <v>2570</v>
      </c>
      <c r="AC19" s="106">
        <v>2570</v>
      </c>
      <c r="AD19" s="106">
        <v>2460</v>
      </c>
      <c r="AE19" s="106">
        <f>2420+515</f>
        <v>2935</v>
      </c>
      <c r="AF19" s="106">
        <f>1380+710</f>
        <v>2090</v>
      </c>
      <c r="AG19" s="106">
        <f>570+1150</f>
        <v>1720</v>
      </c>
      <c r="AH19" s="106">
        <v>1780</v>
      </c>
      <c r="AI19" s="106"/>
    </row>
    <row r="20" spans="1:35" x14ac:dyDescent="0.3">
      <c r="A20" s="100"/>
      <c r="B20" s="107" t="s">
        <v>159</v>
      </c>
      <c r="C20" s="107"/>
      <c r="D20" s="117">
        <f t="shared" si="0"/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9"/>
      <c r="S20" s="69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</row>
    <row r="21" spans="1:35" x14ac:dyDescent="0.3">
      <c r="A21" s="100"/>
      <c r="B21" s="108" t="s">
        <v>160</v>
      </c>
      <c r="C21" s="109"/>
      <c r="D21" s="117">
        <f t="shared" si="0"/>
        <v>10911</v>
      </c>
      <c r="E21" s="67">
        <v>700</v>
      </c>
      <c r="F21" s="67">
        <v>230</v>
      </c>
      <c r="G21" s="67">
        <v>222</v>
      </c>
      <c r="H21" s="67">
        <v>570</v>
      </c>
      <c r="I21" s="67">
        <f>500+360</f>
        <v>860</v>
      </c>
      <c r="J21" s="67">
        <f>330+60</f>
        <v>390</v>
      </c>
      <c r="K21" s="67">
        <v>50</v>
      </c>
      <c r="L21" s="67">
        <v>440</v>
      </c>
      <c r="M21" s="67">
        <v>750</v>
      </c>
      <c r="N21" s="67">
        <v>150</v>
      </c>
      <c r="O21" s="67">
        <v>150</v>
      </c>
      <c r="P21" s="67">
        <v>1040</v>
      </c>
      <c r="Q21" s="67">
        <v>750</v>
      </c>
      <c r="R21" s="69">
        <v>420</v>
      </c>
      <c r="S21" s="69">
        <v>50</v>
      </c>
      <c r="T21" s="106">
        <v>540</v>
      </c>
      <c r="U21" s="106">
        <v>740</v>
      </c>
      <c r="V21" s="106">
        <v>230</v>
      </c>
      <c r="W21" s="106">
        <v>150</v>
      </c>
      <c r="X21" s="106">
        <v>190</v>
      </c>
      <c r="Y21" s="106">
        <v>120</v>
      </c>
      <c r="Z21" s="106">
        <v>240</v>
      </c>
      <c r="AA21" s="106">
        <v>124</v>
      </c>
      <c r="AB21" s="106">
        <v>420</v>
      </c>
      <c r="AC21" s="106">
        <v>140</v>
      </c>
      <c r="AD21" s="106">
        <v>540</v>
      </c>
      <c r="AE21" s="106">
        <v>395</v>
      </c>
      <c r="AF21" s="106">
        <v>110</v>
      </c>
      <c r="AG21" s="106">
        <v>100</v>
      </c>
      <c r="AH21" s="106">
        <v>100</v>
      </c>
      <c r="AI21" s="106"/>
    </row>
    <row r="22" spans="1:35" x14ac:dyDescent="0.3">
      <c r="A22" s="100"/>
      <c r="B22" s="103" t="s">
        <v>15</v>
      </c>
      <c r="C22" s="103"/>
      <c r="D22" s="117">
        <f t="shared" si="0"/>
        <v>22745</v>
      </c>
      <c r="E22" s="67">
        <v>610</v>
      </c>
      <c r="F22" s="67">
        <v>300</v>
      </c>
      <c r="G22" s="67">
        <v>329</v>
      </c>
      <c r="H22" s="67">
        <v>805</v>
      </c>
      <c r="I22" s="67">
        <f>630+370</f>
        <v>1000</v>
      </c>
      <c r="J22" s="67">
        <f>280+680</f>
        <v>960</v>
      </c>
      <c r="K22" s="67">
        <v>259</v>
      </c>
      <c r="L22" s="67">
        <v>805</v>
      </c>
      <c r="M22" s="67">
        <v>930</v>
      </c>
      <c r="N22" s="67">
        <v>830</v>
      </c>
      <c r="O22" s="67">
        <v>970</v>
      </c>
      <c r="P22" s="67">
        <v>1905</v>
      </c>
      <c r="Q22" s="67">
        <v>930</v>
      </c>
      <c r="R22" s="69">
        <v>420</v>
      </c>
      <c r="S22" s="69">
        <v>900</v>
      </c>
      <c r="T22" s="106">
        <v>925</v>
      </c>
      <c r="U22" s="106">
        <v>970</v>
      </c>
      <c r="V22" s="106">
        <f>680+240</f>
        <v>920</v>
      </c>
      <c r="W22" s="106">
        <v>509</v>
      </c>
      <c r="X22" s="106">
        <v>445</v>
      </c>
      <c r="Y22" s="106">
        <v>820</v>
      </c>
      <c r="Z22" s="105">
        <v>340</v>
      </c>
      <c r="AA22" s="105">
        <v>354</v>
      </c>
      <c r="AB22" s="105">
        <v>855</v>
      </c>
      <c r="AC22" s="105">
        <v>980</v>
      </c>
      <c r="AD22" s="105">
        <v>1100</v>
      </c>
      <c r="AE22" s="105">
        <v>509</v>
      </c>
      <c r="AF22" s="105">
        <v>855</v>
      </c>
      <c r="AG22" s="105">
        <v>710</v>
      </c>
      <c r="AH22" s="105">
        <v>500</v>
      </c>
      <c r="AI22" s="105"/>
    </row>
    <row r="23" spans="1:35" x14ac:dyDescent="0.3">
      <c r="A23" s="100"/>
      <c r="B23" s="103" t="s">
        <v>9</v>
      </c>
      <c r="C23" s="103"/>
      <c r="D23" s="117">
        <f t="shared" si="0"/>
        <v>15240</v>
      </c>
      <c r="E23" s="67">
        <v>510</v>
      </c>
      <c r="F23" s="67">
        <v>140</v>
      </c>
      <c r="G23" s="67">
        <v>300</v>
      </c>
      <c r="H23" s="67">
        <v>900</v>
      </c>
      <c r="I23" s="67">
        <f>630+200</f>
        <v>830</v>
      </c>
      <c r="J23" s="67">
        <f>170+30</f>
        <v>200</v>
      </c>
      <c r="K23" s="67">
        <v>160</v>
      </c>
      <c r="L23" s="67">
        <v>900</v>
      </c>
      <c r="M23" s="67">
        <v>720</v>
      </c>
      <c r="N23" s="67">
        <v>80</v>
      </c>
      <c r="O23" s="67">
        <v>460</v>
      </c>
      <c r="P23" s="67">
        <v>1700</v>
      </c>
      <c r="Q23" s="67">
        <v>720</v>
      </c>
      <c r="R23" s="69">
        <v>260</v>
      </c>
      <c r="S23" s="69">
        <v>320</v>
      </c>
      <c r="T23" s="105">
        <v>960</v>
      </c>
      <c r="U23" s="105">
        <v>700</v>
      </c>
      <c r="V23" s="105">
        <v>130</v>
      </c>
      <c r="W23" s="105">
        <v>300</v>
      </c>
      <c r="X23" s="105">
        <v>345</v>
      </c>
      <c r="Y23" s="105">
        <v>590</v>
      </c>
      <c r="Z23" s="105">
        <v>230</v>
      </c>
      <c r="AA23" s="105">
        <v>160</v>
      </c>
      <c r="AB23" s="105">
        <v>865</v>
      </c>
      <c r="AC23" s="105">
        <v>700</v>
      </c>
      <c r="AD23" s="105">
        <v>240</v>
      </c>
      <c r="AE23" s="105">
        <v>300</v>
      </c>
      <c r="AF23" s="105">
        <v>865</v>
      </c>
      <c r="AG23" s="105">
        <v>490</v>
      </c>
      <c r="AH23" s="105">
        <v>165</v>
      </c>
      <c r="AI23" s="105"/>
    </row>
    <row r="24" spans="1:35" x14ac:dyDescent="0.3">
      <c r="A24" s="100"/>
      <c r="B24" s="100" t="s">
        <v>35</v>
      </c>
      <c r="C24" s="100"/>
      <c r="D24" s="117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</row>
    <row r="25" spans="1:35" x14ac:dyDescent="0.3">
      <c r="A25" s="97" t="s">
        <v>4</v>
      </c>
      <c r="B25" s="97"/>
      <c r="C25" s="97"/>
      <c r="D25" s="111">
        <f>SUM(D6:D24)</f>
        <v>296382</v>
      </c>
      <c r="E25" s="111">
        <f>SUM(E6:E24)</f>
        <v>8150</v>
      </c>
      <c r="F25" s="111">
        <f t="shared" ref="F25:AI25" si="1">SUM(F6:F24)</f>
        <v>9760</v>
      </c>
      <c r="G25" s="111">
        <f t="shared" si="1"/>
        <v>4631</v>
      </c>
      <c r="H25" s="111">
        <f t="shared" si="1"/>
        <v>9206</v>
      </c>
      <c r="I25" s="111">
        <f t="shared" si="1"/>
        <v>11850</v>
      </c>
      <c r="J25" s="111">
        <f t="shared" si="1"/>
        <v>14540</v>
      </c>
      <c r="K25" s="111">
        <f t="shared" si="1"/>
        <v>6952</v>
      </c>
      <c r="L25" s="111">
        <f t="shared" si="1"/>
        <v>9096</v>
      </c>
      <c r="M25" s="111">
        <f t="shared" si="1"/>
        <v>10220</v>
      </c>
      <c r="N25" s="111">
        <f t="shared" si="1"/>
        <v>6270</v>
      </c>
      <c r="O25" s="111">
        <f t="shared" si="1"/>
        <v>12125</v>
      </c>
      <c r="P25" s="111">
        <f t="shared" si="1"/>
        <v>16256</v>
      </c>
      <c r="Q25" s="111">
        <f t="shared" si="1"/>
        <v>9850</v>
      </c>
      <c r="R25" s="111">
        <f t="shared" si="1"/>
        <v>8470</v>
      </c>
      <c r="S25" s="111">
        <f t="shared" si="1"/>
        <v>13478</v>
      </c>
      <c r="T25" s="111">
        <f t="shared" si="1"/>
        <v>10746</v>
      </c>
      <c r="U25" s="111">
        <f t="shared" si="1"/>
        <v>9080</v>
      </c>
      <c r="V25" s="111">
        <f t="shared" si="1"/>
        <v>8700</v>
      </c>
      <c r="W25" s="111">
        <f t="shared" si="1"/>
        <v>14139</v>
      </c>
      <c r="X25" s="111">
        <f t="shared" si="1"/>
        <v>13811</v>
      </c>
      <c r="Y25" s="111">
        <f t="shared" si="1"/>
        <v>8210</v>
      </c>
      <c r="Z25" s="111">
        <f t="shared" si="1"/>
        <v>8640</v>
      </c>
      <c r="AA25" s="111">
        <f t="shared" si="1"/>
        <v>9561</v>
      </c>
      <c r="AB25" s="111">
        <f t="shared" si="1"/>
        <v>9491</v>
      </c>
      <c r="AC25" s="111">
        <f t="shared" si="1"/>
        <v>9220</v>
      </c>
      <c r="AD25" s="111">
        <f t="shared" si="1"/>
        <v>12430</v>
      </c>
      <c r="AE25" s="111">
        <f t="shared" si="1"/>
        <v>9944</v>
      </c>
      <c r="AF25" s="111">
        <f t="shared" si="1"/>
        <v>7441</v>
      </c>
      <c r="AG25" s="111">
        <f t="shared" si="1"/>
        <v>6600</v>
      </c>
      <c r="AH25" s="111">
        <f t="shared" si="1"/>
        <v>7515</v>
      </c>
      <c r="AI25" s="111">
        <f t="shared" si="1"/>
        <v>0</v>
      </c>
    </row>
    <row r="26" spans="1:35" x14ac:dyDescent="0.3">
      <c r="A26" s="100"/>
      <c r="B26" s="100" t="s">
        <v>6</v>
      </c>
      <c r="C26" s="56" t="s">
        <v>32</v>
      </c>
      <c r="D26" s="117">
        <f>SUM(E26:AF26)</f>
        <v>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</row>
    <row r="27" spans="1:35" x14ac:dyDescent="0.3">
      <c r="A27" s="100"/>
      <c r="B27" s="100"/>
      <c r="C27" s="56" t="s">
        <v>121</v>
      </c>
      <c r="D27" s="117">
        <f>SUM(E27:AI27)</f>
        <v>65248</v>
      </c>
      <c r="E27" s="67">
        <v>2050</v>
      </c>
      <c r="F27" s="67">
        <v>3000</v>
      </c>
      <c r="G27" s="67">
        <v>1268</v>
      </c>
      <c r="H27" s="67">
        <v>1658</v>
      </c>
      <c r="I27" s="67">
        <f>340+2300</f>
        <v>2640</v>
      </c>
      <c r="J27" s="67">
        <f>2700+700</f>
        <v>3400</v>
      </c>
      <c r="K27" s="67">
        <v>2070</v>
      </c>
      <c r="L27" s="67">
        <v>1708</v>
      </c>
      <c r="M27" s="67">
        <v>1650</v>
      </c>
      <c r="N27" s="67">
        <v>1890</v>
      </c>
      <c r="O27" s="67">
        <v>2368</v>
      </c>
      <c r="P27" s="67">
        <f>1958+650</f>
        <v>2608</v>
      </c>
      <c r="Q27" s="67">
        <v>1650</v>
      </c>
      <c r="R27" s="69">
        <v>2400</v>
      </c>
      <c r="S27" s="69">
        <f>1150+2040</f>
        <v>3190</v>
      </c>
      <c r="T27" s="69">
        <v>1858</v>
      </c>
      <c r="U27" s="69">
        <v>1350</v>
      </c>
      <c r="V27" s="69">
        <v>2660</v>
      </c>
      <c r="W27" s="69">
        <f>1640+328</f>
        <v>1968</v>
      </c>
      <c r="X27" s="69">
        <f>1998+1400</f>
        <v>3398</v>
      </c>
      <c r="Y27" s="69">
        <v>1610</v>
      </c>
      <c r="Z27" s="69">
        <v>2770</v>
      </c>
      <c r="AA27" s="69">
        <v>2140</v>
      </c>
      <c r="AB27" s="69">
        <v>1508</v>
      </c>
      <c r="AC27" s="69">
        <v>1700</v>
      </c>
      <c r="AD27" s="69">
        <v>3800</v>
      </c>
      <c r="AE27" s="69">
        <v>1968</v>
      </c>
      <c r="AF27" s="69">
        <f>1138+250</f>
        <v>1388</v>
      </c>
      <c r="AG27" s="69">
        <v>1000</v>
      </c>
      <c r="AH27" s="69">
        <v>2580</v>
      </c>
      <c r="AI27" s="69"/>
    </row>
    <row r="28" spans="1:35" x14ac:dyDescent="0.3">
      <c r="A28" s="97" t="s">
        <v>4</v>
      </c>
      <c r="B28" s="97"/>
      <c r="C28" s="97"/>
      <c r="D28" s="112">
        <f>SUM(D26:D27)</f>
        <v>65248</v>
      </c>
      <c r="E28" s="112">
        <f>SUM(E26:E27)</f>
        <v>2050</v>
      </c>
      <c r="F28" s="112">
        <f t="shared" ref="F28:AI28" si="2">SUM(F26:F27)</f>
        <v>3000</v>
      </c>
      <c r="G28" s="112">
        <f t="shared" si="2"/>
        <v>1268</v>
      </c>
      <c r="H28" s="112">
        <f t="shared" si="2"/>
        <v>1658</v>
      </c>
      <c r="I28" s="112">
        <f t="shared" si="2"/>
        <v>2640</v>
      </c>
      <c r="J28" s="112">
        <f t="shared" si="2"/>
        <v>3400</v>
      </c>
      <c r="K28" s="112">
        <f t="shared" si="2"/>
        <v>2070</v>
      </c>
      <c r="L28" s="112">
        <f t="shared" si="2"/>
        <v>1708</v>
      </c>
      <c r="M28" s="112">
        <f t="shared" si="2"/>
        <v>1650</v>
      </c>
      <c r="N28" s="112">
        <f t="shared" si="2"/>
        <v>1890</v>
      </c>
      <c r="O28" s="112">
        <f t="shared" si="2"/>
        <v>2368</v>
      </c>
      <c r="P28" s="112">
        <f t="shared" si="2"/>
        <v>2608</v>
      </c>
      <c r="Q28" s="112">
        <f t="shared" si="2"/>
        <v>1650</v>
      </c>
      <c r="R28" s="112">
        <f t="shared" si="2"/>
        <v>2400</v>
      </c>
      <c r="S28" s="112">
        <f t="shared" si="2"/>
        <v>3190</v>
      </c>
      <c r="T28" s="112">
        <f t="shared" si="2"/>
        <v>1858</v>
      </c>
      <c r="U28" s="112">
        <f t="shared" si="2"/>
        <v>1350</v>
      </c>
      <c r="V28" s="112">
        <f t="shared" si="2"/>
        <v>2660</v>
      </c>
      <c r="W28" s="112">
        <f t="shared" si="2"/>
        <v>1968</v>
      </c>
      <c r="X28" s="112">
        <f t="shared" si="2"/>
        <v>3398</v>
      </c>
      <c r="Y28" s="112">
        <f t="shared" si="2"/>
        <v>1610</v>
      </c>
      <c r="Z28" s="112">
        <f t="shared" si="2"/>
        <v>2770</v>
      </c>
      <c r="AA28" s="112">
        <f t="shared" si="2"/>
        <v>2140</v>
      </c>
      <c r="AB28" s="112">
        <f t="shared" si="2"/>
        <v>1508</v>
      </c>
      <c r="AC28" s="112">
        <f t="shared" si="2"/>
        <v>1700</v>
      </c>
      <c r="AD28" s="112">
        <f t="shared" si="2"/>
        <v>3800</v>
      </c>
      <c r="AE28" s="112">
        <f t="shared" si="2"/>
        <v>1968</v>
      </c>
      <c r="AF28" s="112">
        <f t="shared" si="2"/>
        <v>1388</v>
      </c>
      <c r="AG28" s="112">
        <f t="shared" si="2"/>
        <v>1000</v>
      </c>
      <c r="AH28" s="112">
        <f t="shared" si="2"/>
        <v>2580</v>
      </c>
      <c r="AI28" s="112">
        <f t="shared" si="2"/>
        <v>0</v>
      </c>
    </row>
    <row r="29" spans="1:35" x14ac:dyDescent="0.3">
      <c r="A29" s="113" t="s">
        <v>87</v>
      </c>
      <c r="B29" s="113"/>
      <c r="C29" s="113"/>
      <c r="D29" s="124">
        <f>SUM(D25+D28)</f>
        <v>361630</v>
      </c>
      <c r="E29" s="124">
        <f t="shared" ref="E29:AH29" si="3">SUM(E25+E28)</f>
        <v>10200</v>
      </c>
      <c r="F29" s="124">
        <f t="shared" si="3"/>
        <v>12760</v>
      </c>
      <c r="G29" s="124">
        <f t="shared" si="3"/>
        <v>5899</v>
      </c>
      <c r="H29" s="124">
        <f t="shared" si="3"/>
        <v>10864</v>
      </c>
      <c r="I29" s="124">
        <f t="shared" si="3"/>
        <v>14490</v>
      </c>
      <c r="J29" s="124">
        <f t="shared" si="3"/>
        <v>17940</v>
      </c>
      <c r="K29" s="124">
        <f t="shared" si="3"/>
        <v>9022</v>
      </c>
      <c r="L29" s="124">
        <f t="shared" si="3"/>
        <v>10804</v>
      </c>
      <c r="M29" s="124">
        <f t="shared" si="3"/>
        <v>11870</v>
      </c>
      <c r="N29" s="124">
        <f t="shared" si="3"/>
        <v>8160</v>
      </c>
      <c r="O29" s="124">
        <f t="shared" si="3"/>
        <v>14493</v>
      </c>
      <c r="P29" s="124">
        <f t="shared" si="3"/>
        <v>18864</v>
      </c>
      <c r="Q29" s="124">
        <f t="shared" si="3"/>
        <v>11500</v>
      </c>
      <c r="R29" s="124">
        <f t="shared" si="3"/>
        <v>10870</v>
      </c>
      <c r="S29" s="124">
        <f t="shared" si="3"/>
        <v>16668</v>
      </c>
      <c r="T29" s="124">
        <f t="shared" si="3"/>
        <v>12604</v>
      </c>
      <c r="U29" s="124">
        <f t="shared" si="3"/>
        <v>10430</v>
      </c>
      <c r="V29" s="124">
        <f t="shared" si="3"/>
        <v>11360</v>
      </c>
      <c r="W29" s="124">
        <f t="shared" si="3"/>
        <v>16107</v>
      </c>
      <c r="X29" s="124">
        <f t="shared" si="3"/>
        <v>17209</v>
      </c>
      <c r="Y29" s="124">
        <f t="shared" si="3"/>
        <v>9820</v>
      </c>
      <c r="Z29" s="124">
        <f t="shared" si="3"/>
        <v>11410</v>
      </c>
      <c r="AA29" s="124">
        <f t="shared" si="3"/>
        <v>11701</v>
      </c>
      <c r="AB29" s="124">
        <f t="shared" si="3"/>
        <v>10999</v>
      </c>
      <c r="AC29" s="124">
        <f t="shared" si="3"/>
        <v>10920</v>
      </c>
      <c r="AD29" s="124">
        <f t="shared" si="3"/>
        <v>16230</v>
      </c>
      <c r="AE29" s="124">
        <f t="shared" si="3"/>
        <v>11912</v>
      </c>
      <c r="AF29" s="124">
        <f t="shared" si="3"/>
        <v>8829</v>
      </c>
      <c r="AG29" s="124">
        <f t="shared" si="3"/>
        <v>7600</v>
      </c>
      <c r="AH29" s="124">
        <f t="shared" si="3"/>
        <v>10095</v>
      </c>
      <c r="AI29" s="115">
        <f t="shared" ref="AI29" si="4">SUM(AI25,AI28)</f>
        <v>0</v>
      </c>
    </row>
  </sheetData>
  <mergeCells count="31">
    <mergeCell ref="A28:C28"/>
    <mergeCell ref="A29:C29"/>
    <mergeCell ref="B21:C21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1:D1"/>
    <mergeCell ref="H1:M2"/>
    <mergeCell ref="A3:C3"/>
    <mergeCell ref="D3:D4"/>
    <mergeCell ref="A4:C4"/>
    <mergeCell ref="A5:A24"/>
    <mergeCell ref="B5:C5"/>
    <mergeCell ref="B6:C6"/>
    <mergeCell ref="B7:C7"/>
    <mergeCell ref="B8:C8"/>
  </mergeCells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workbookViewId="0">
      <selection activeCell="K17" sqref="K17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25" style="44" bestFit="1" customWidth="1"/>
    <col min="5" max="16384" width="9" style="44"/>
  </cols>
  <sheetData>
    <row r="1" spans="1:40" ht="26.25" x14ac:dyDescent="0.3">
      <c r="A1" s="94" t="s">
        <v>161</v>
      </c>
      <c r="B1" s="94"/>
      <c r="C1" s="94"/>
      <c r="D1" s="94"/>
      <c r="I1" s="95"/>
      <c r="J1" s="95"/>
      <c r="K1" s="95"/>
      <c r="L1" s="95"/>
      <c r="M1" s="95"/>
      <c r="N1" s="95"/>
      <c r="O1" s="95"/>
    </row>
    <row r="2" spans="1:40" ht="26.25" x14ac:dyDescent="0.3">
      <c r="A2" s="47"/>
      <c r="B2" s="48"/>
      <c r="C2" s="48"/>
      <c r="D2" s="96"/>
      <c r="F2" s="48"/>
      <c r="G2" s="48"/>
      <c r="H2" s="48"/>
      <c r="I2" s="49"/>
      <c r="J2" s="49"/>
      <c r="K2" s="49"/>
      <c r="L2" s="49"/>
      <c r="M2" s="49"/>
      <c r="N2" s="49"/>
      <c r="O2" s="49"/>
      <c r="P2" s="48"/>
      <c r="Q2" s="48"/>
      <c r="R2" s="48"/>
      <c r="S2" s="48"/>
      <c r="T2" s="48"/>
      <c r="V2" s="48"/>
    </row>
    <row r="3" spans="1:40" x14ac:dyDescent="0.3">
      <c r="A3" s="97" t="s">
        <v>19</v>
      </c>
      <c r="B3" s="97"/>
      <c r="C3" s="97"/>
      <c r="D3" s="98" t="s">
        <v>5</v>
      </c>
      <c r="E3" s="125" t="s">
        <v>162</v>
      </c>
      <c r="F3" s="99">
        <v>1</v>
      </c>
      <c r="G3" s="99">
        <v>2</v>
      </c>
      <c r="H3" s="99">
        <v>3</v>
      </c>
      <c r="I3" s="99">
        <v>4</v>
      </c>
      <c r="J3" s="99">
        <v>5</v>
      </c>
      <c r="K3" s="99">
        <v>6</v>
      </c>
      <c r="L3" s="99">
        <v>7</v>
      </c>
      <c r="M3" s="125" t="s">
        <v>162</v>
      </c>
      <c r="N3" s="99">
        <v>8</v>
      </c>
      <c r="O3" s="99">
        <v>9</v>
      </c>
      <c r="P3" s="99">
        <v>10</v>
      </c>
      <c r="Q3" s="99">
        <v>11</v>
      </c>
      <c r="R3" s="99">
        <v>12</v>
      </c>
      <c r="S3" s="99">
        <v>13</v>
      </c>
      <c r="T3" s="99">
        <v>14</v>
      </c>
      <c r="U3" s="125" t="s">
        <v>162</v>
      </c>
      <c r="V3" s="99">
        <v>15</v>
      </c>
      <c r="W3" s="99">
        <v>16</v>
      </c>
      <c r="X3" s="99">
        <v>17</v>
      </c>
      <c r="Y3" s="99">
        <v>18</v>
      </c>
      <c r="Z3" s="99">
        <v>19</v>
      </c>
      <c r="AA3" s="99">
        <v>20</v>
      </c>
      <c r="AB3" s="99">
        <v>21</v>
      </c>
      <c r="AC3" s="125" t="s">
        <v>162</v>
      </c>
      <c r="AD3" s="99">
        <v>22</v>
      </c>
      <c r="AE3" s="99">
        <v>23</v>
      </c>
      <c r="AF3" s="99">
        <v>24</v>
      </c>
      <c r="AG3" s="99">
        <v>25</v>
      </c>
      <c r="AH3" s="99">
        <v>26</v>
      </c>
      <c r="AI3" s="99">
        <v>27</v>
      </c>
      <c r="AJ3" s="99">
        <v>28</v>
      </c>
      <c r="AK3" s="125" t="s">
        <v>162</v>
      </c>
      <c r="AL3" s="99">
        <v>29</v>
      </c>
      <c r="AM3" s="99">
        <v>30</v>
      </c>
      <c r="AN3" s="99">
        <v>31</v>
      </c>
    </row>
    <row r="4" spans="1:40" x14ac:dyDescent="0.3">
      <c r="A4" s="97" t="s">
        <v>18</v>
      </c>
      <c r="B4" s="97"/>
      <c r="C4" s="97"/>
      <c r="D4" s="98"/>
      <c r="E4" s="125"/>
      <c r="F4" s="56" t="s">
        <v>163</v>
      </c>
      <c r="G4" s="56" t="s">
        <v>59</v>
      </c>
      <c r="H4" s="56" t="s">
        <v>60</v>
      </c>
      <c r="I4" s="56" t="s">
        <v>54</v>
      </c>
      <c r="J4" s="56" t="s">
        <v>55</v>
      </c>
      <c r="K4" s="56" t="s">
        <v>56</v>
      </c>
      <c r="L4" s="56" t="s">
        <v>57</v>
      </c>
      <c r="M4" s="125"/>
      <c r="N4" s="56" t="s">
        <v>163</v>
      </c>
      <c r="O4" s="56" t="s">
        <v>59</v>
      </c>
      <c r="P4" s="56" t="s">
        <v>60</v>
      </c>
      <c r="Q4" s="56" t="s">
        <v>54</v>
      </c>
      <c r="R4" s="56" t="s">
        <v>55</v>
      </c>
      <c r="S4" s="56" t="s">
        <v>56</v>
      </c>
      <c r="T4" s="56" t="s">
        <v>57</v>
      </c>
      <c r="U4" s="125"/>
      <c r="V4" s="56" t="s">
        <v>163</v>
      </c>
      <c r="W4" s="56" t="s">
        <v>59</v>
      </c>
      <c r="X4" s="56" t="s">
        <v>60</v>
      </c>
      <c r="Y4" s="56" t="s">
        <v>54</v>
      </c>
      <c r="Z4" s="56" t="s">
        <v>55</v>
      </c>
      <c r="AA4" s="56" t="s">
        <v>56</v>
      </c>
      <c r="AB4" s="56" t="s">
        <v>57</v>
      </c>
      <c r="AC4" s="125"/>
      <c r="AD4" s="56" t="s">
        <v>163</v>
      </c>
      <c r="AE4" s="56" t="s">
        <v>59</v>
      </c>
      <c r="AF4" s="56" t="s">
        <v>60</v>
      </c>
      <c r="AG4" s="56" t="s">
        <v>54</v>
      </c>
      <c r="AH4" s="56" t="s">
        <v>55</v>
      </c>
      <c r="AI4" s="56" t="s">
        <v>56</v>
      </c>
      <c r="AJ4" s="56" t="s">
        <v>57</v>
      </c>
      <c r="AK4" s="125"/>
      <c r="AL4" s="56" t="s">
        <v>163</v>
      </c>
      <c r="AM4" s="56" t="s">
        <v>59</v>
      </c>
      <c r="AN4" s="56" t="s">
        <v>60</v>
      </c>
    </row>
    <row r="5" spans="1:40" x14ac:dyDescent="0.3">
      <c r="A5" s="100" t="s">
        <v>31</v>
      </c>
      <c r="B5" s="100" t="s">
        <v>30</v>
      </c>
      <c r="C5" s="100"/>
      <c r="D5" s="101"/>
      <c r="E5" s="126"/>
      <c r="F5" s="102" t="s">
        <v>164</v>
      </c>
      <c r="G5" s="61" t="s">
        <v>164</v>
      </c>
      <c r="H5" s="61" t="s">
        <v>165</v>
      </c>
      <c r="I5" s="61" t="s">
        <v>165</v>
      </c>
      <c r="J5" s="61" t="s">
        <v>166</v>
      </c>
      <c r="K5" s="61" t="s">
        <v>164</v>
      </c>
      <c r="L5" s="61" t="s">
        <v>165</v>
      </c>
      <c r="M5" s="126"/>
      <c r="N5" s="61" t="s">
        <v>166</v>
      </c>
      <c r="O5" s="61" t="s">
        <v>167</v>
      </c>
      <c r="P5" s="61" t="s">
        <v>168</v>
      </c>
      <c r="Q5" s="61" t="s">
        <v>165</v>
      </c>
      <c r="R5" s="61" t="s">
        <v>169</v>
      </c>
      <c r="S5" s="61" t="s">
        <v>170</v>
      </c>
      <c r="T5" s="61" t="s">
        <v>164</v>
      </c>
      <c r="U5" s="126"/>
      <c r="V5" s="61" t="s">
        <v>171</v>
      </c>
      <c r="W5" s="102" t="s">
        <v>164</v>
      </c>
      <c r="X5" s="102" t="s">
        <v>164</v>
      </c>
      <c r="Y5" s="102" t="s">
        <v>164</v>
      </c>
      <c r="Z5" s="102" t="s">
        <v>165</v>
      </c>
      <c r="AA5" s="102" t="s">
        <v>166</v>
      </c>
      <c r="AB5" s="102" t="s">
        <v>111</v>
      </c>
      <c r="AC5" s="126"/>
      <c r="AD5" s="102" t="s">
        <v>164</v>
      </c>
      <c r="AE5" s="102" t="s">
        <v>164</v>
      </c>
      <c r="AF5" s="102" t="s">
        <v>164</v>
      </c>
      <c r="AG5" s="102" t="s">
        <v>164</v>
      </c>
      <c r="AH5" s="102" t="s">
        <v>164</v>
      </c>
      <c r="AI5" s="102" t="s">
        <v>164</v>
      </c>
      <c r="AJ5" s="102" t="s">
        <v>111</v>
      </c>
      <c r="AK5" s="126"/>
      <c r="AL5" s="102" t="s">
        <v>147</v>
      </c>
      <c r="AM5" s="102" t="s">
        <v>164</v>
      </c>
      <c r="AN5" s="102" t="s">
        <v>164</v>
      </c>
    </row>
    <row r="6" spans="1:40" x14ac:dyDescent="0.3">
      <c r="A6" s="100"/>
      <c r="B6" s="103" t="s">
        <v>21</v>
      </c>
      <c r="C6" s="103"/>
      <c r="D6" s="104">
        <f>SUM(F6:L6,N6:T6,V6:AB6,AD6:AJ6,AL6:AN6)</f>
        <v>1762</v>
      </c>
      <c r="E6" s="127">
        <f t="shared" ref="E6:E24" si="0">SUM(F6:L6)</f>
        <v>570</v>
      </c>
      <c r="F6" s="74">
        <v>0</v>
      </c>
      <c r="G6" s="74">
        <v>150</v>
      </c>
      <c r="H6" s="74">
        <v>100</v>
      </c>
      <c r="I6" s="74">
        <v>0</v>
      </c>
      <c r="J6" s="74">
        <v>0</v>
      </c>
      <c r="K6" s="74">
        <v>220</v>
      </c>
      <c r="L6" s="74">
        <v>100</v>
      </c>
      <c r="M6" s="127">
        <f t="shared" ref="M6:M24" si="1">SUM(N6:T6)</f>
        <v>400</v>
      </c>
      <c r="N6" s="74">
        <v>0</v>
      </c>
      <c r="O6" s="74">
        <v>0</v>
      </c>
      <c r="P6" s="74">
        <v>200</v>
      </c>
      <c r="Q6" s="128">
        <v>0</v>
      </c>
      <c r="R6" s="74">
        <v>0</v>
      </c>
      <c r="S6" s="74">
        <v>0</v>
      </c>
      <c r="T6" s="70">
        <v>200</v>
      </c>
      <c r="U6" s="127">
        <f t="shared" ref="U6:U24" si="2">SUM(V6:AB6)</f>
        <v>200</v>
      </c>
      <c r="V6" s="70">
        <v>0</v>
      </c>
      <c r="W6" s="129">
        <v>0</v>
      </c>
      <c r="X6" s="129"/>
      <c r="Y6" s="129">
        <f>120+80</f>
        <v>200</v>
      </c>
      <c r="Z6" s="129">
        <v>0</v>
      </c>
      <c r="AA6" s="129">
        <v>0</v>
      </c>
      <c r="AB6" s="129">
        <v>0</v>
      </c>
      <c r="AC6" s="127">
        <f t="shared" ref="AC6:AC24" si="3">SUM(AD6:AJ6)</f>
        <v>406</v>
      </c>
      <c r="AD6" s="129">
        <v>200</v>
      </c>
      <c r="AE6" s="129">
        <v>0</v>
      </c>
      <c r="AF6" s="129">
        <v>0</v>
      </c>
      <c r="AG6" s="129">
        <v>0</v>
      </c>
      <c r="AH6" s="129">
        <f>120+86</f>
        <v>206</v>
      </c>
      <c r="AI6" s="129">
        <v>0</v>
      </c>
      <c r="AJ6" s="129">
        <v>0</v>
      </c>
      <c r="AK6" s="127">
        <f t="shared" ref="AK6:AK24" si="4">SUM(AL6:AN6)</f>
        <v>186</v>
      </c>
      <c r="AL6" s="129">
        <v>0</v>
      </c>
      <c r="AM6" s="129">
        <f>120+66</f>
        <v>186</v>
      </c>
      <c r="AN6" s="129">
        <v>0</v>
      </c>
    </row>
    <row r="7" spans="1:40" x14ac:dyDescent="0.3">
      <c r="A7" s="100"/>
      <c r="B7" s="103" t="s">
        <v>22</v>
      </c>
      <c r="C7" s="103"/>
      <c r="D7" s="104">
        <f t="shared" ref="D7:D24" si="5">SUM(F7:L7,N7:T7,V7:AB7,AD7:AJ7,AL7:AN7)</f>
        <v>40302</v>
      </c>
      <c r="E7" s="127">
        <f t="shared" si="0"/>
        <v>9106</v>
      </c>
      <c r="F7" s="74">
        <v>1573</v>
      </c>
      <c r="G7" s="74">
        <v>740</v>
      </c>
      <c r="H7" s="74">
        <v>2200</v>
      </c>
      <c r="I7" s="74">
        <v>1220</v>
      </c>
      <c r="J7" s="74">
        <v>1573</v>
      </c>
      <c r="K7" s="74">
        <v>0</v>
      </c>
      <c r="L7" s="74">
        <v>1800</v>
      </c>
      <c r="M7" s="127">
        <f t="shared" si="1"/>
        <v>10696</v>
      </c>
      <c r="N7" s="74">
        <v>1650</v>
      </c>
      <c r="O7" s="74">
        <v>1573</v>
      </c>
      <c r="P7" s="74">
        <v>1270</v>
      </c>
      <c r="Q7" s="74">
        <v>2000</v>
      </c>
      <c r="R7" s="74">
        <v>1700</v>
      </c>
      <c r="S7" s="74">
        <v>1573</v>
      </c>
      <c r="T7" s="70">
        <v>930</v>
      </c>
      <c r="U7" s="127">
        <f t="shared" si="2"/>
        <v>9120</v>
      </c>
      <c r="V7" s="70">
        <v>1900</v>
      </c>
      <c r="W7" s="129">
        <v>570</v>
      </c>
      <c r="X7" s="129">
        <v>950</v>
      </c>
      <c r="Y7" s="129">
        <v>650</v>
      </c>
      <c r="Z7" s="129">
        <v>2200</v>
      </c>
      <c r="AA7" s="129">
        <v>1900</v>
      </c>
      <c r="AB7" s="129">
        <v>950</v>
      </c>
      <c r="AC7" s="127">
        <f t="shared" si="3"/>
        <v>7710</v>
      </c>
      <c r="AD7" s="129">
        <v>560</v>
      </c>
      <c r="AE7" s="129">
        <v>1050</v>
      </c>
      <c r="AF7" s="129">
        <v>1350</v>
      </c>
      <c r="AG7" s="129">
        <v>950</v>
      </c>
      <c r="AH7" s="129">
        <f>480</f>
        <v>480</v>
      </c>
      <c r="AI7" s="129">
        <v>1800</v>
      </c>
      <c r="AJ7" s="129">
        <v>1520</v>
      </c>
      <c r="AK7" s="127">
        <f t="shared" si="4"/>
        <v>3670</v>
      </c>
      <c r="AL7" s="129">
        <v>950</v>
      </c>
      <c r="AM7" s="129">
        <v>420</v>
      </c>
      <c r="AN7" s="129">
        <v>2300</v>
      </c>
    </row>
    <row r="8" spans="1:40" x14ac:dyDescent="0.3">
      <c r="A8" s="100"/>
      <c r="B8" s="103" t="s">
        <v>24</v>
      </c>
      <c r="C8" s="103"/>
      <c r="D8" s="104">
        <f t="shared" si="5"/>
        <v>61640</v>
      </c>
      <c r="E8" s="127">
        <f t="shared" si="0"/>
        <v>11180</v>
      </c>
      <c r="F8" s="74">
        <v>2510</v>
      </c>
      <c r="G8" s="74">
        <v>1100</v>
      </c>
      <c r="H8" s="74">
        <v>520</v>
      </c>
      <c r="I8" s="74">
        <v>2280</v>
      </c>
      <c r="J8" s="74">
        <v>2630</v>
      </c>
      <c r="K8" s="74">
        <f>1100+520</f>
        <v>1620</v>
      </c>
      <c r="L8" s="74">
        <v>520</v>
      </c>
      <c r="M8" s="127">
        <f t="shared" si="1"/>
        <v>14860</v>
      </c>
      <c r="N8" s="74">
        <v>2480</v>
      </c>
      <c r="O8" s="74">
        <v>3110</v>
      </c>
      <c r="P8" s="74">
        <v>1100</v>
      </c>
      <c r="Q8" s="74">
        <v>2430</v>
      </c>
      <c r="R8" s="74">
        <v>2080</v>
      </c>
      <c r="S8" s="74">
        <v>2560</v>
      </c>
      <c r="T8" s="70">
        <v>1100</v>
      </c>
      <c r="U8" s="127">
        <f t="shared" si="2"/>
        <v>14770</v>
      </c>
      <c r="V8" s="70">
        <v>2440</v>
      </c>
      <c r="W8" s="130">
        <v>2480</v>
      </c>
      <c r="X8" s="130">
        <v>1840</v>
      </c>
      <c r="Y8" s="130">
        <v>1100</v>
      </c>
      <c r="Z8" s="130">
        <v>2440</v>
      </c>
      <c r="AA8" s="130">
        <v>2480</v>
      </c>
      <c r="AB8" s="130">
        <v>1990</v>
      </c>
      <c r="AC8" s="127">
        <f t="shared" si="3"/>
        <v>15190</v>
      </c>
      <c r="AD8" s="130">
        <v>1100</v>
      </c>
      <c r="AE8" s="130">
        <v>2420</v>
      </c>
      <c r="AF8" s="130">
        <v>3450</v>
      </c>
      <c r="AG8" s="130">
        <v>2240</v>
      </c>
      <c r="AH8" s="130">
        <v>1100</v>
      </c>
      <c r="AI8" s="130">
        <v>2330</v>
      </c>
      <c r="AJ8" s="130">
        <v>2550</v>
      </c>
      <c r="AK8" s="127">
        <f t="shared" si="4"/>
        <v>5640</v>
      </c>
      <c r="AL8" s="129">
        <v>2630</v>
      </c>
      <c r="AM8" s="129">
        <v>1100</v>
      </c>
      <c r="AN8" s="129">
        <v>1910</v>
      </c>
    </row>
    <row r="9" spans="1:40" x14ac:dyDescent="0.3">
      <c r="A9" s="100"/>
      <c r="B9" s="103" t="s">
        <v>28</v>
      </c>
      <c r="C9" s="103"/>
      <c r="D9" s="104">
        <f t="shared" si="5"/>
        <v>18336</v>
      </c>
      <c r="E9" s="127">
        <f t="shared" si="0"/>
        <v>8996</v>
      </c>
      <c r="F9" s="74">
        <f>629+1130</f>
        <v>1759</v>
      </c>
      <c r="G9" s="74">
        <v>1521</v>
      </c>
      <c r="H9" s="74">
        <f>840+220</f>
        <v>1060</v>
      </c>
      <c r="I9" s="90">
        <f>230+90</f>
        <v>320</v>
      </c>
      <c r="J9" s="74">
        <f>515+1130</f>
        <v>1645</v>
      </c>
      <c r="K9" s="74">
        <f>821+840</f>
        <v>1661</v>
      </c>
      <c r="L9" s="74">
        <f>840+190</f>
        <v>1030</v>
      </c>
      <c r="M9" s="127">
        <f t="shared" si="1"/>
        <v>7937</v>
      </c>
      <c r="N9" s="74">
        <f>270+980</f>
        <v>1250</v>
      </c>
      <c r="O9" s="74">
        <f>480+1130</f>
        <v>1610</v>
      </c>
      <c r="P9" s="74">
        <f>821+90</f>
        <v>911</v>
      </c>
      <c r="Q9" s="74">
        <f>455+210</f>
        <v>665</v>
      </c>
      <c r="R9" s="74">
        <f>230+860</f>
        <v>1090</v>
      </c>
      <c r="S9" s="74">
        <f>1130+355</f>
        <v>1485</v>
      </c>
      <c r="T9" s="70">
        <f>105+821</f>
        <v>926</v>
      </c>
      <c r="U9" s="127">
        <f t="shared" si="2"/>
        <v>1221</v>
      </c>
      <c r="V9" s="70">
        <f>210+0</f>
        <v>210</v>
      </c>
      <c r="W9" s="130">
        <v>190</v>
      </c>
      <c r="X9" s="130">
        <v>0</v>
      </c>
      <c r="Y9" s="130">
        <v>821</v>
      </c>
      <c r="Z9" s="130">
        <v>0</v>
      </c>
      <c r="AA9" s="130">
        <v>0</v>
      </c>
      <c r="AB9" s="130">
        <v>0</v>
      </c>
      <c r="AC9" s="127">
        <f t="shared" si="3"/>
        <v>37</v>
      </c>
      <c r="AD9" s="130">
        <v>0</v>
      </c>
      <c r="AE9" s="130">
        <v>20</v>
      </c>
      <c r="AF9" s="130">
        <v>0</v>
      </c>
      <c r="AG9" s="130">
        <v>0</v>
      </c>
      <c r="AH9" s="130">
        <v>0</v>
      </c>
      <c r="AI9" s="130">
        <v>17</v>
      </c>
      <c r="AJ9" s="130">
        <v>0</v>
      </c>
      <c r="AK9" s="127">
        <f t="shared" si="4"/>
        <v>145</v>
      </c>
      <c r="AL9" s="130">
        <v>0</v>
      </c>
      <c r="AM9" s="130">
        <v>16</v>
      </c>
      <c r="AN9" s="130">
        <f>110+19</f>
        <v>129</v>
      </c>
    </row>
    <row r="10" spans="1:40" x14ac:dyDescent="0.3">
      <c r="A10" s="100"/>
      <c r="B10" s="107" t="s">
        <v>17</v>
      </c>
      <c r="C10" s="107"/>
      <c r="D10" s="104">
        <f t="shared" si="5"/>
        <v>0</v>
      </c>
      <c r="E10" s="127">
        <f t="shared" si="0"/>
        <v>0</v>
      </c>
      <c r="F10" s="130"/>
      <c r="G10" s="74"/>
      <c r="H10" s="130"/>
      <c r="I10" s="130"/>
      <c r="J10" s="74"/>
      <c r="K10" s="130"/>
      <c r="L10" s="130"/>
      <c r="M10" s="127">
        <f t="shared" si="1"/>
        <v>0</v>
      </c>
      <c r="N10" s="130"/>
      <c r="O10" s="130"/>
      <c r="P10" s="74"/>
      <c r="Q10" s="130"/>
      <c r="R10" s="130"/>
      <c r="S10" s="130"/>
      <c r="T10" s="130"/>
      <c r="U10" s="127">
        <f t="shared" si="2"/>
        <v>0</v>
      </c>
      <c r="V10" s="130"/>
      <c r="W10" s="130"/>
      <c r="X10" s="130"/>
      <c r="Y10" s="130"/>
      <c r="Z10" s="130"/>
      <c r="AA10" s="130"/>
      <c r="AB10" s="130"/>
      <c r="AC10" s="127">
        <f t="shared" si="3"/>
        <v>0</v>
      </c>
      <c r="AD10" s="130"/>
      <c r="AE10" s="130"/>
      <c r="AF10" s="130"/>
      <c r="AG10" s="130"/>
      <c r="AH10" s="130"/>
      <c r="AI10" s="130"/>
      <c r="AJ10" s="130"/>
      <c r="AK10" s="127">
        <f t="shared" si="4"/>
        <v>0</v>
      </c>
      <c r="AL10" s="130"/>
      <c r="AM10" s="130"/>
      <c r="AN10" s="130"/>
    </row>
    <row r="11" spans="1:40" x14ac:dyDescent="0.3">
      <c r="A11" s="100"/>
      <c r="B11" s="107" t="s">
        <v>38</v>
      </c>
      <c r="C11" s="107"/>
      <c r="D11" s="104">
        <f t="shared" si="5"/>
        <v>0</v>
      </c>
      <c r="E11" s="127">
        <f t="shared" si="0"/>
        <v>0</v>
      </c>
      <c r="F11" s="130"/>
      <c r="G11" s="74"/>
      <c r="H11" s="130"/>
      <c r="I11" s="130"/>
      <c r="J11" s="74"/>
      <c r="K11" s="130"/>
      <c r="L11" s="130"/>
      <c r="M11" s="127">
        <f t="shared" si="1"/>
        <v>0</v>
      </c>
      <c r="N11" s="130"/>
      <c r="O11" s="130"/>
      <c r="P11" s="130"/>
      <c r="Q11" s="130"/>
      <c r="R11" s="130"/>
      <c r="S11" s="130"/>
      <c r="T11" s="130"/>
      <c r="U11" s="127">
        <f t="shared" si="2"/>
        <v>0</v>
      </c>
      <c r="V11" s="130"/>
      <c r="W11" s="130"/>
      <c r="X11" s="130"/>
      <c r="Y11" s="130"/>
      <c r="Z11" s="130"/>
      <c r="AA11" s="130"/>
      <c r="AB11" s="130"/>
      <c r="AC11" s="127">
        <f t="shared" si="3"/>
        <v>0</v>
      </c>
      <c r="AD11" s="130"/>
      <c r="AE11" s="130"/>
      <c r="AF11" s="130"/>
      <c r="AG11" s="130"/>
      <c r="AH11" s="130"/>
      <c r="AI11" s="130"/>
      <c r="AJ11" s="130"/>
      <c r="AK11" s="127">
        <f t="shared" si="4"/>
        <v>0</v>
      </c>
      <c r="AL11" s="130"/>
      <c r="AM11" s="130"/>
      <c r="AN11" s="130"/>
    </row>
    <row r="12" spans="1:40" x14ac:dyDescent="0.3">
      <c r="A12" s="100"/>
      <c r="B12" s="107" t="s">
        <v>116</v>
      </c>
      <c r="C12" s="107"/>
      <c r="D12" s="104">
        <f t="shared" si="5"/>
        <v>0</v>
      </c>
      <c r="E12" s="127">
        <f t="shared" si="0"/>
        <v>0</v>
      </c>
      <c r="F12" s="130"/>
      <c r="G12" s="74"/>
      <c r="H12" s="130"/>
      <c r="I12" s="130"/>
      <c r="J12" s="74"/>
      <c r="K12" s="130"/>
      <c r="L12" s="130"/>
      <c r="M12" s="127">
        <f t="shared" si="1"/>
        <v>0</v>
      </c>
      <c r="N12" s="130"/>
      <c r="O12" s="130"/>
      <c r="P12" s="130"/>
      <c r="Q12" s="130"/>
      <c r="R12" s="130"/>
      <c r="S12" s="130"/>
      <c r="T12" s="130"/>
      <c r="U12" s="127">
        <f t="shared" si="2"/>
        <v>0</v>
      </c>
      <c r="V12" s="130"/>
      <c r="W12" s="130"/>
      <c r="X12" s="130"/>
      <c r="Y12" s="130"/>
      <c r="Z12" s="130"/>
      <c r="AA12" s="130"/>
      <c r="AB12" s="130"/>
      <c r="AC12" s="127">
        <f t="shared" si="3"/>
        <v>0</v>
      </c>
      <c r="AD12" s="130"/>
      <c r="AE12" s="130"/>
      <c r="AF12" s="130"/>
      <c r="AG12" s="130"/>
      <c r="AH12" s="130"/>
      <c r="AI12" s="130"/>
      <c r="AJ12" s="130"/>
      <c r="AK12" s="127">
        <f t="shared" si="4"/>
        <v>0</v>
      </c>
      <c r="AL12" s="130"/>
      <c r="AM12" s="130"/>
      <c r="AN12" s="130"/>
    </row>
    <row r="13" spans="1:40" x14ac:dyDescent="0.3">
      <c r="A13" s="100"/>
      <c r="B13" s="107" t="s">
        <v>46</v>
      </c>
      <c r="C13" s="107"/>
      <c r="D13" s="104">
        <f t="shared" si="5"/>
        <v>0</v>
      </c>
      <c r="E13" s="127">
        <f t="shared" si="0"/>
        <v>0</v>
      </c>
      <c r="F13" s="130"/>
      <c r="G13" s="74"/>
      <c r="H13" s="130"/>
      <c r="I13" s="130"/>
      <c r="J13" s="74"/>
      <c r="K13" s="130"/>
      <c r="L13" s="130"/>
      <c r="M13" s="127">
        <f t="shared" si="1"/>
        <v>0</v>
      </c>
      <c r="N13" s="130"/>
      <c r="O13" s="130"/>
      <c r="P13" s="130"/>
      <c r="Q13" s="130"/>
      <c r="R13" s="130"/>
      <c r="S13" s="130"/>
      <c r="T13" s="130"/>
      <c r="U13" s="127">
        <f t="shared" si="2"/>
        <v>0</v>
      </c>
      <c r="V13" s="130"/>
      <c r="W13" s="130"/>
      <c r="X13" s="130"/>
      <c r="Y13" s="130"/>
      <c r="Z13" s="130"/>
      <c r="AA13" s="130"/>
      <c r="AB13" s="130"/>
      <c r="AC13" s="127">
        <f t="shared" si="3"/>
        <v>0</v>
      </c>
      <c r="AD13" s="130"/>
      <c r="AE13" s="130"/>
      <c r="AF13" s="130"/>
      <c r="AG13" s="130"/>
      <c r="AH13" s="130"/>
      <c r="AI13" s="130"/>
      <c r="AJ13" s="130"/>
      <c r="AK13" s="127">
        <f t="shared" si="4"/>
        <v>0</v>
      </c>
      <c r="AL13" s="130"/>
      <c r="AM13" s="130"/>
      <c r="AN13" s="130"/>
    </row>
    <row r="14" spans="1:40" x14ac:dyDescent="0.3">
      <c r="A14" s="100"/>
      <c r="B14" s="107" t="s">
        <v>3</v>
      </c>
      <c r="C14" s="107"/>
      <c r="D14" s="104">
        <f t="shared" si="5"/>
        <v>0</v>
      </c>
      <c r="E14" s="127">
        <f t="shared" si="0"/>
        <v>0</v>
      </c>
      <c r="F14" s="130"/>
      <c r="G14" s="74"/>
      <c r="H14" s="130"/>
      <c r="I14" s="130"/>
      <c r="J14" s="74"/>
      <c r="K14" s="130"/>
      <c r="L14" s="130"/>
      <c r="M14" s="127">
        <f t="shared" si="1"/>
        <v>0</v>
      </c>
      <c r="N14" s="130"/>
      <c r="O14" s="130"/>
      <c r="P14" s="130"/>
      <c r="Q14" s="130"/>
      <c r="R14" s="130"/>
      <c r="S14" s="130"/>
      <c r="T14" s="130"/>
      <c r="U14" s="127">
        <f t="shared" si="2"/>
        <v>0</v>
      </c>
      <c r="V14" s="130"/>
      <c r="W14" s="130"/>
      <c r="X14" s="130"/>
      <c r="Y14" s="130"/>
      <c r="Z14" s="130"/>
      <c r="AA14" s="130"/>
      <c r="AB14" s="130"/>
      <c r="AC14" s="127">
        <f t="shared" si="3"/>
        <v>0</v>
      </c>
      <c r="AD14" s="130"/>
      <c r="AE14" s="130"/>
      <c r="AF14" s="130"/>
      <c r="AG14" s="130"/>
      <c r="AH14" s="130"/>
      <c r="AI14" s="130"/>
      <c r="AJ14" s="130"/>
      <c r="AK14" s="127">
        <f t="shared" si="4"/>
        <v>0</v>
      </c>
      <c r="AL14" s="130"/>
      <c r="AM14" s="130"/>
      <c r="AN14" s="130"/>
    </row>
    <row r="15" spans="1:40" x14ac:dyDescent="0.3">
      <c r="A15" s="100"/>
      <c r="B15" s="107" t="s">
        <v>172</v>
      </c>
      <c r="C15" s="107"/>
      <c r="D15" s="104">
        <f t="shared" si="5"/>
        <v>0</v>
      </c>
      <c r="E15" s="127">
        <f t="shared" si="0"/>
        <v>0</v>
      </c>
      <c r="F15" s="130"/>
      <c r="G15" s="74"/>
      <c r="H15" s="130"/>
      <c r="I15" s="130"/>
      <c r="J15" s="74"/>
      <c r="K15" s="130"/>
      <c r="L15" s="130"/>
      <c r="M15" s="127">
        <f t="shared" si="1"/>
        <v>0</v>
      </c>
      <c r="N15" s="130"/>
      <c r="O15" s="130"/>
      <c r="P15" s="130"/>
      <c r="Q15" s="130"/>
      <c r="R15" s="130"/>
      <c r="S15" s="130"/>
      <c r="T15" s="130"/>
      <c r="U15" s="127">
        <f t="shared" si="2"/>
        <v>0</v>
      </c>
      <c r="V15" s="130"/>
      <c r="W15" s="130"/>
      <c r="X15" s="130"/>
      <c r="Y15" s="130"/>
      <c r="Z15" s="130"/>
      <c r="AA15" s="130"/>
      <c r="AB15" s="130"/>
      <c r="AC15" s="127">
        <f t="shared" si="3"/>
        <v>0</v>
      </c>
      <c r="AD15" s="130"/>
      <c r="AE15" s="130"/>
      <c r="AF15" s="130"/>
      <c r="AG15" s="130"/>
      <c r="AH15" s="130"/>
      <c r="AI15" s="130"/>
      <c r="AJ15" s="130"/>
      <c r="AK15" s="127">
        <f t="shared" si="4"/>
        <v>0</v>
      </c>
      <c r="AL15" s="130"/>
      <c r="AM15" s="130"/>
      <c r="AN15" s="130"/>
    </row>
    <row r="16" spans="1:40" x14ac:dyDescent="0.3">
      <c r="A16" s="100"/>
      <c r="B16" s="107" t="s">
        <v>118</v>
      </c>
      <c r="C16" s="107"/>
      <c r="D16" s="104">
        <f t="shared" si="5"/>
        <v>0</v>
      </c>
      <c r="E16" s="127">
        <f t="shared" si="0"/>
        <v>0</v>
      </c>
      <c r="F16" s="130"/>
      <c r="G16" s="74"/>
      <c r="H16" s="130"/>
      <c r="I16" s="130"/>
      <c r="J16" s="74"/>
      <c r="K16" s="130"/>
      <c r="L16" s="130"/>
      <c r="M16" s="127">
        <f t="shared" si="1"/>
        <v>0</v>
      </c>
      <c r="N16" s="130"/>
      <c r="O16" s="130"/>
      <c r="P16" s="130"/>
      <c r="Q16" s="130"/>
      <c r="R16" s="130"/>
      <c r="S16" s="130"/>
      <c r="T16" s="130"/>
      <c r="U16" s="127">
        <f t="shared" si="2"/>
        <v>0</v>
      </c>
      <c r="V16" s="130"/>
      <c r="W16" s="130"/>
      <c r="X16" s="130"/>
      <c r="Y16" s="130"/>
      <c r="Z16" s="130"/>
      <c r="AA16" s="130"/>
      <c r="AB16" s="130"/>
      <c r="AC16" s="127">
        <f t="shared" si="3"/>
        <v>0</v>
      </c>
      <c r="AD16" s="130"/>
      <c r="AE16" s="130"/>
      <c r="AF16" s="130"/>
      <c r="AG16" s="130"/>
      <c r="AH16" s="130"/>
      <c r="AI16" s="130"/>
      <c r="AJ16" s="130"/>
      <c r="AK16" s="127">
        <f t="shared" si="4"/>
        <v>0</v>
      </c>
      <c r="AL16" s="130"/>
      <c r="AM16" s="130"/>
      <c r="AN16" s="130"/>
    </row>
    <row r="17" spans="1:40" x14ac:dyDescent="0.3">
      <c r="A17" s="100"/>
      <c r="B17" s="107" t="s">
        <v>13</v>
      </c>
      <c r="C17" s="107"/>
      <c r="D17" s="104">
        <f t="shared" si="5"/>
        <v>0</v>
      </c>
      <c r="E17" s="127">
        <f t="shared" si="0"/>
        <v>0</v>
      </c>
      <c r="F17" s="130"/>
      <c r="G17" s="74"/>
      <c r="H17" s="130"/>
      <c r="I17" s="130"/>
      <c r="J17" s="74"/>
      <c r="K17" s="130"/>
      <c r="L17" s="130"/>
      <c r="M17" s="127">
        <f t="shared" si="1"/>
        <v>0</v>
      </c>
      <c r="N17" s="130"/>
      <c r="O17" s="130"/>
      <c r="P17" s="130"/>
      <c r="Q17" s="130"/>
      <c r="R17" s="130"/>
      <c r="S17" s="130"/>
      <c r="T17" s="130"/>
      <c r="U17" s="127">
        <f t="shared" si="2"/>
        <v>0</v>
      </c>
      <c r="V17" s="130"/>
      <c r="W17" s="130"/>
      <c r="X17" s="130"/>
      <c r="Y17" s="130"/>
      <c r="Z17" s="130"/>
      <c r="AA17" s="130"/>
      <c r="AB17" s="130"/>
      <c r="AC17" s="127">
        <f t="shared" si="3"/>
        <v>0</v>
      </c>
      <c r="AD17" s="130"/>
      <c r="AE17" s="130"/>
      <c r="AF17" s="130"/>
      <c r="AG17" s="130"/>
      <c r="AH17" s="130"/>
      <c r="AI17" s="130"/>
      <c r="AJ17" s="130"/>
      <c r="AK17" s="127">
        <f t="shared" si="4"/>
        <v>0</v>
      </c>
      <c r="AL17" s="130"/>
      <c r="AM17" s="130"/>
      <c r="AN17" s="130"/>
    </row>
    <row r="18" spans="1:40" x14ac:dyDescent="0.3">
      <c r="A18" s="100"/>
      <c r="B18" s="107" t="s">
        <v>26</v>
      </c>
      <c r="C18" s="107"/>
      <c r="D18" s="104">
        <f t="shared" si="5"/>
        <v>0</v>
      </c>
      <c r="E18" s="127">
        <f t="shared" si="0"/>
        <v>0</v>
      </c>
      <c r="F18" s="130"/>
      <c r="G18" s="74"/>
      <c r="H18" s="130"/>
      <c r="I18" s="130"/>
      <c r="J18" s="74"/>
      <c r="K18" s="130"/>
      <c r="L18" s="130"/>
      <c r="M18" s="127">
        <f t="shared" si="1"/>
        <v>0</v>
      </c>
      <c r="N18" s="74"/>
      <c r="O18" s="130"/>
      <c r="P18" s="130"/>
      <c r="Q18" s="130"/>
      <c r="R18" s="130"/>
      <c r="S18" s="130"/>
      <c r="T18" s="130"/>
      <c r="U18" s="127">
        <f t="shared" si="2"/>
        <v>0</v>
      </c>
      <c r="V18" s="130"/>
      <c r="W18" s="130"/>
      <c r="X18" s="130"/>
      <c r="Y18" s="130"/>
      <c r="Z18" s="130"/>
      <c r="AA18" s="130"/>
      <c r="AB18" s="130"/>
      <c r="AC18" s="127">
        <f t="shared" si="3"/>
        <v>0</v>
      </c>
      <c r="AD18" s="130"/>
      <c r="AE18" s="130"/>
      <c r="AF18" s="130"/>
      <c r="AG18" s="130"/>
      <c r="AH18" s="130"/>
      <c r="AI18" s="130"/>
      <c r="AJ18" s="130"/>
      <c r="AK18" s="127">
        <f t="shared" si="4"/>
        <v>0</v>
      </c>
      <c r="AL18" s="130"/>
      <c r="AM18" s="130"/>
      <c r="AN18" s="130"/>
    </row>
    <row r="19" spans="1:40" x14ac:dyDescent="0.3">
      <c r="A19" s="100"/>
      <c r="B19" s="103" t="s">
        <v>1</v>
      </c>
      <c r="C19" s="103"/>
      <c r="D19" s="104">
        <f t="shared" si="5"/>
        <v>69417</v>
      </c>
      <c r="E19" s="127">
        <f t="shared" si="0"/>
        <v>13975</v>
      </c>
      <c r="F19" s="74">
        <f>1305+1210</f>
        <v>2515</v>
      </c>
      <c r="G19" s="74">
        <f>1380+710</f>
        <v>2090</v>
      </c>
      <c r="H19" s="74">
        <f>730+1250</f>
        <v>1980</v>
      </c>
      <c r="I19" s="74">
        <f>410+460</f>
        <v>870</v>
      </c>
      <c r="J19" s="74">
        <f>1690+1210</f>
        <v>2900</v>
      </c>
      <c r="K19" s="74">
        <f>1380+730</f>
        <v>2110</v>
      </c>
      <c r="L19" s="74">
        <f>730+780</f>
        <v>1510</v>
      </c>
      <c r="M19" s="127">
        <f t="shared" si="1"/>
        <v>15463</v>
      </c>
      <c r="N19" s="74">
        <f>730+1170</f>
        <v>1900</v>
      </c>
      <c r="O19" s="74">
        <f>1680+1210</f>
        <v>2890</v>
      </c>
      <c r="P19" s="74">
        <f>1380+515</f>
        <v>1895</v>
      </c>
      <c r="Q19" s="74">
        <f>1640+430</f>
        <v>2070</v>
      </c>
      <c r="R19" s="74">
        <f>930+1240</f>
        <v>2170</v>
      </c>
      <c r="S19" s="74">
        <f>1380+1210</f>
        <v>2590</v>
      </c>
      <c r="T19" s="70">
        <f>1380+568</f>
        <v>1948</v>
      </c>
      <c r="U19" s="127">
        <f t="shared" si="2"/>
        <v>14878</v>
      </c>
      <c r="V19" s="70">
        <f>955+880</f>
        <v>1835</v>
      </c>
      <c r="W19" s="130">
        <f>620+730</f>
        <v>1350</v>
      </c>
      <c r="X19" s="130">
        <f>1210+1210</f>
        <v>2420</v>
      </c>
      <c r="Y19" s="130">
        <f>1380+568</f>
        <v>1948</v>
      </c>
      <c r="Z19" s="130">
        <f>955+1300</f>
        <v>2255</v>
      </c>
      <c r="AA19" s="130">
        <f>930+1370</f>
        <v>2300</v>
      </c>
      <c r="AB19" s="130">
        <f>1560+1210</f>
        <v>2770</v>
      </c>
      <c r="AC19" s="127">
        <f t="shared" si="3"/>
        <v>16951</v>
      </c>
      <c r="AD19" s="130">
        <f>1380+608</f>
        <v>1988</v>
      </c>
      <c r="AE19" s="130">
        <f>955+890</f>
        <v>1845</v>
      </c>
      <c r="AF19" s="130">
        <f>1650+1340</f>
        <v>2990</v>
      </c>
      <c r="AG19" s="130">
        <f>1770+1210</f>
        <v>2980</v>
      </c>
      <c r="AH19" s="130">
        <f>1380+568</f>
        <v>1948</v>
      </c>
      <c r="AI19" s="130">
        <f>990+1200</f>
        <v>2190</v>
      </c>
      <c r="AJ19" s="130">
        <f>1550+1460</f>
        <v>3010</v>
      </c>
      <c r="AK19" s="127">
        <f t="shared" si="4"/>
        <v>8150</v>
      </c>
      <c r="AL19" s="130">
        <f>1790+1210</f>
        <v>3000</v>
      </c>
      <c r="AM19" s="130">
        <f>1380+570</f>
        <v>1950</v>
      </c>
      <c r="AN19" s="130">
        <f>1600+1600</f>
        <v>3200</v>
      </c>
    </row>
    <row r="20" spans="1:40" x14ac:dyDescent="0.3">
      <c r="A20" s="100"/>
      <c r="B20" s="107" t="s">
        <v>173</v>
      </c>
      <c r="C20" s="107"/>
      <c r="D20" s="104">
        <f t="shared" si="5"/>
        <v>0</v>
      </c>
      <c r="E20" s="127">
        <f t="shared" si="0"/>
        <v>0</v>
      </c>
      <c r="F20" s="74"/>
      <c r="G20" s="74"/>
      <c r="H20" s="74"/>
      <c r="I20" s="74"/>
      <c r="J20" s="74"/>
      <c r="K20" s="74"/>
      <c r="L20" s="74"/>
      <c r="M20" s="127">
        <f t="shared" si="1"/>
        <v>0</v>
      </c>
      <c r="N20" s="74"/>
      <c r="O20" s="74"/>
      <c r="P20" s="74"/>
      <c r="Q20" s="74"/>
      <c r="R20" s="74"/>
      <c r="S20" s="74"/>
      <c r="T20" s="70"/>
      <c r="U20" s="127">
        <f t="shared" si="2"/>
        <v>0</v>
      </c>
      <c r="V20" s="70"/>
      <c r="W20" s="130"/>
      <c r="X20" s="130"/>
      <c r="Y20" s="130"/>
      <c r="Z20" s="130"/>
      <c r="AA20" s="130"/>
      <c r="AB20" s="130"/>
      <c r="AC20" s="127">
        <f t="shared" si="3"/>
        <v>0</v>
      </c>
      <c r="AD20" s="130"/>
      <c r="AE20" s="130"/>
      <c r="AF20" s="130"/>
      <c r="AG20" s="130"/>
      <c r="AH20" s="130"/>
      <c r="AI20" s="130"/>
      <c r="AJ20" s="130"/>
      <c r="AK20" s="127">
        <f t="shared" si="4"/>
        <v>0</v>
      </c>
      <c r="AL20" s="130"/>
      <c r="AM20" s="130"/>
      <c r="AN20" s="130"/>
    </row>
    <row r="21" spans="1:40" x14ac:dyDescent="0.3">
      <c r="A21" s="100"/>
      <c r="B21" s="108" t="s">
        <v>174</v>
      </c>
      <c r="C21" s="109"/>
      <c r="D21" s="104">
        <f t="shared" si="5"/>
        <v>3849</v>
      </c>
      <c r="E21" s="127">
        <f t="shared" si="0"/>
        <v>958</v>
      </c>
      <c r="F21" s="74">
        <f>230+54</f>
        <v>284</v>
      </c>
      <c r="G21" s="74">
        <f>60+50</f>
        <v>110</v>
      </c>
      <c r="H21" s="74">
        <f>70+30</f>
        <v>100</v>
      </c>
      <c r="I21" s="74">
        <v>52</v>
      </c>
      <c r="J21" s="74">
        <f>97+90</f>
        <v>187</v>
      </c>
      <c r="K21" s="74">
        <f>60+70</f>
        <v>130</v>
      </c>
      <c r="L21" s="74">
        <v>95</v>
      </c>
      <c r="M21" s="127">
        <f t="shared" si="1"/>
        <v>890</v>
      </c>
      <c r="N21" s="74">
        <v>105</v>
      </c>
      <c r="O21" s="74">
        <v>200</v>
      </c>
      <c r="P21" s="74">
        <v>85</v>
      </c>
      <c r="Q21" s="74">
        <f>107+25</f>
        <v>132</v>
      </c>
      <c r="R21" s="74">
        <f>30+85</f>
        <v>115</v>
      </c>
      <c r="S21" s="74">
        <f>45+90</f>
        <v>135</v>
      </c>
      <c r="T21" s="70">
        <f>60+58</f>
        <v>118</v>
      </c>
      <c r="U21" s="127">
        <f t="shared" si="2"/>
        <v>787</v>
      </c>
      <c r="V21" s="70">
        <f>107+25</f>
        <v>132</v>
      </c>
      <c r="W21" s="130">
        <f>30</f>
        <v>30</v>
      </c>
      <c r="X21" s="130">
        <v>135</v>
      </c>
      <c r="Y21" s="130">
        <f>60+58</f>
        <v>118</v>
      </c>
      <c r="Z21" s="130">
        <f>107+25</f>
        <v>132</v>
      </c>
      <c r="AA21" s="130">
        <f>30+43</f>
        <v>73</v>
      </c>
      <c r="AB21" s="130">
        <f>77+90</f>
        <v>167</v>
      </c>
      <c r="AC21" s="127">
        <f t="shared" si="3"/>
        <v>808</v>
      </c>
      <c r="AD21" s="130">
        <f>60+58</f>
        <v>118</v>
      </c>
      <c r="AE21" s="130">
        <f>107+25</f>
        <v>132</v>
      </c>
      <c r="AF21" s="130">
        <f>60+27</f>
        <v>87</v>
      </c>
      <c r="AG21" s="130">
        <f>65+90</f>
        <v>155</v>
      </c>
      <c r="AH21" s="130">
        <f>60+54</f>
        <v>114</v>
      </c>
      <c r="AI21" s="130">
        <f>97+25</f>
        <v>122</v>
      </c>
      <c r="AJ21" s="130">
        <v>80</v>
      </c>
      <c r="AK21" s="127">
        <f t="shared" si="4"/>
        <v>406</v>
      </c>
      <c r="AL21" s="130">
        <f>55+90</f>
        <v>145</v>
      </c>
      <c r="AM21" s="130">
        <f>60+54</f>
        <v>114</v>
      </c>
      <c r="AN21" s="130">
        <f>50+97</f>
        <v>147</v>
      </c>
    </row>
    <row r="22" spans="1:40" x14ac:dyDescent="0.3">
      <c r="A22" s="100"/>
      <c r="B22" s="103" t="s">
        <v>15</v>
      </c>
      <c r="C22" s="103"/>
      <c r="D22" s="104">
        <f t="shared" si="5"/>
        <v>11517</v>
      </c>
      <c r="E22" s="127">
        <f t="shared" si="0"/>
        <v>4518</v>
      </c>
      <c r="F22" s="74">
        <f>234+245</f>
        <v>479</v>
      </c>
      <c r="G22" s="74">
        <f>700+155</f>
        <v>855</v>
      </c>
      <c r="H22" s="74">
        <f>630+240</f>
        <v>870</v>
      </c>
      <c r="I22" s="74">
        <v>170</v>
      </c>
      <c r="J22" s="74">
        <f>215+234</f>
        <v>449</v>
      </c>
      <c r="K22" s="74">
        <f>630+155</f>
        <v>785</v>
      </c>
      <c r="L22" s="74">
        <f>630+280</f>
        <v>910</v>
      </c>
      <c r="M22" s="127">
        <f t="shared" si="1"/>
        <v>2190</v>
      </c>
      <c r="N22" s="74">
        <f>130+170</f>
        <v>300</v>
      </c>
      <c r="O22" s="74">
        <f>235+234</f>
        <v>469</v>
      </c>
      <c r="P22" s="74">
        <f>155+40</f>
        <v>195</v>
      </c>
      <c r="Q22" s="74">
        <f>165+240</f>
        <v>405</v>
      </c>
      <c r="R22" s="74">
        <f>120+120</f>
        <v>240</v>
      </c>
      <c r="S22" s="74">
        <f>165+160</f>
        <v>325</v>
      </c>
      <c r="T22" s="70">
        <f>155+101</f>
        <v>256</v>
      </c>
      <c r="U22" s="127">
        <f t="shared" si="2"/>
        <v>1841</v>
      </c>
      <c r="V22" s="70">
        <f>165+270</f>
        <v>435</v>
      </c>
      <c r="W22" s="130">
        <v>100</v>
      </c>
      <c r="X22" s="130">
        <f>165+75</f>
        <v>240</v>
      </c>
      <c r="Y22" s="130">
        <f>155+101</f>
        <v>256</v>
      </c>
      <c r="Z22" s="130">
        <f>165+240</f>
        <v>405</v>
      </c>
      <c r="AA22" s="130">
        <f>120+50</f>
        <v>170</v>
      </c>
      <c r="AB22" s="130">
        <f>70+165</f>
        <v>235</v>
      </c>
      <c r="AC22" s="127">
        <f t="shared" si="3"/>
        <v>1907</v>
      </c>
      <c r="AD22" s="129">
        <f>155+98</f>
        <v>253</v>
      </c>
      <c r="AE22" s="129">
        <f>165+100</f>
        <v>265</v>
      </c>
      <c r="AF22" s="129">
        <f>210+40</f>
        <v>250</v>
      </c>
      <c r="AG22" s="129">
        <f>115+165</f>
        <v>280</v>
      </c>
      <c r="AH22" s="129">
        <f>89+155</f>
        <v>244</v>
      </c>
      <c r="AI22" s="129">
        <f>180+230</f>
        <v>410</v>
      </c>
      <c r="AJ22" s="129">
        <f>35+170</f>
        <v>205</v>
      </c>
      <c r="AK22" s="127">
        <f t="shared" si="4"/>
        <v>1061</v>
      </c>
      <c r="AL22" s="129">
        <f>115+165</f>
        <v>280</v>
      </c>
      <c r="AM22" s="129">
        <f>155+156</f>
        <v>311</v>
      </c>
      <c r="AN22" s="129">
        <f>180+290</f>
        <v>470</v>
      </c>
    </row>
    <row r="23" spans="1:40" x14ac:dyDescent="0.3">
      <c r="A23" s="100"/>
      <c r="B23" s="103" t="s">
        <v>9</v>
      </c>
      <c r="C23" s="103"/>
      <c r="D23" s="104">
        <f t="shared" si="5"/>
        <v>7138</v>
      </c>
      <c r="E23" s="127">
        <f t="shared" si="0"/>
        <v>3525</v>
      </c>
      <c r="F23" s="74">
        <f>115+100</f>
        <v>215</v>
      </c>
      <c r="G23" s="74">
        <f>115+750</f>
        <v>865</v>
      </c>
      <c r="H23" s="74">
        <f>630+70</f>
        <v>700</v>
      </c>
      <c r="I23" s="74">
        <v>90</v>
      </c>
      <c r="J23" s="74">
        <v>230</v>
      </c>
      <c r="K23" s="74">
        <f>630+115</f>
        <v>745</v>
      </c>
      <c r="L23" s="74">
        <f>50+630</f>
        <v>680</v>
      </c>
      <c r="M23" s="127">
        <f t="shared" si="1"/>
        <v>1245</v>
      </c>
      <c r="N23" s="74">
        <f>60+75</f>
        <v>135</v>
      </c>
      <c r="O23" s="74">
        <v>220</v>
      </c>
      <c r="P23" s="74">
        <f>115+30</f>
        <v>145</v>
      </c>
      <c r="Q23" s="74">
        <f>125+50</f>
        <v>175</v>
      </c>
      <c r="R23" s="74">
        <f>60+85</f>
        <v>145</v>
      </c>
      <c r="S23" s="74">
        <f>70+100</f>
        <v>170</v>
      </c>
      <c r="T23" s="70">
        <f>115+140</f>
        <v>255</v>
      </c>
      <c r="U23" s="127">
        <f t="shared" si="2"/>
        <v>1010</v>
      </c>
      <c r="V23" s="70">
        <f>125+50</f>
        <v>175</v>
      </c>
      <c r="W23" s="129">
        <v>70</v>
      </c>
      <c r="X23" s="129">
        <f>35+100</f>
        <v>135</v>
      </c>
      <c r="Y23" s="129">
        <f>115+40</f>
        <v>155</v>
      </c>
      <c r="Z23" s="129">
        <f>125+50</f>
        <v>175</v>
      </c>
      <c r="AA23" s="129">
        <f>80+70</f>
        <v>150</v>
      </c>
      <c r="AB23" s="129">
        <f>50+100</f>
        <v>150</v>
      </c>
      <c r="AC23" s="127">
        <f t="shared" si="3"/>
        <v>999</v>
      </c>
      <c r="AD23" s="129">
        <f>115+3</f>
        <v>118</v>
      </c>
      <c r="AE23" s="129">
        <f>125+45</f>
        <v>170</v>
      </c>
      <c r="AF23" s="129">
        <f>170+40</f>
        <v>210</v>
      </c>
      <c r="AG23" s="129">
        <f>50+100</f>
        <v>150</v>
      </c>
      <c r="AH23" s="129">
        <f>115+3</f>
        <v>118</v>
      </c>
      <c r="AI23" s="129">
        <f>28+50</f>
        <v>78</v>
      </c>
      <c r="AJ23" s="129">
        <f>120+35</f>
        <v>155</v>
      </c>
      <c r="AK23" s="127">
        <f t="shared" si="4"/>
        <v>359</v>
      </c>
      <c r="AL23" s="129">
        <v>155</v>
      </c>
      <c r="AM23" s="129">
        <f>115+1</f>
        <v>116</v>
      </c>
      <c r="AN23" s="129">
        <f>28+60</f>
        <v>88</v>
      </c>
    </row>
    <row r="24" spans="1:40" x14ac:dyDescent="0.3">
      <c r="A24" s="100"/>
      <c r="B24" s="100" t="s">
        <v>35</v>
      </c>
      <c r="C24" s="100"/>
      <c r="D24" s="104">
        <f t="shared" si="5"/>
        <v>0</v>
      </c>
      <c r="E24" s="127">
        <f t="shared" si="0"/>
        <v>0</v>
      </c>
      <c r="F24" s="129"/>
      <c r="G24" s="129"/>
      <c r="H24" s="129"/>
      <c r="I24" s="129"/>
      <c r="J24" s="129"/>
      <c r="K24" s="129"/>
      <c r="L24" s="129"/>
      <c r="M24" s="127">
        <f t="shared" si="1"/>
        <v>0</v>
      </c>
      <c r="N24" s="129"/>
      <c r="O24" s="74"/>
      <c r="P24" s="129"/>
      <c r="Q24" s="129"/>
      <c r="R24" s="129"/>
      <c r="S24" s="129"/>
      <c r="T24" s="129"/>
      <c r="U24" s="127">
        <f t="shared" si="2"/>
        <v>0</v>
      </c>
      <c r="V24" s="129"/>
      <c r="W24" s="129"/>
      <c r="X24" s="129"/>
      <c r="Y24" s="129"/>
      <c r="Z24" s="129"/>
      <c r="AA24" s="129"/>
      <c r="AB24" s="129"/>
      <c r="AC24" s="127">
        <f t="shared" si="3"/>
        <v>0</v>
      </c>
      <c r="AD24" s="129"/>
      <c r="AE24" s="129"/>
      <c r="AF24" s="129"/>
      <c r="AG24" s="129"/>
      <c r="AH24" s="129"/>
      <c r="AI24" s="129"/>
      <c r="AJ24" s="129"/>
      <c r="AK24" s="127">
        <f t="shared" si="4"/>
        <v>0</v>
      </c>
      <c r="AL24" s="129"/>
      <c r="AM24" s="129"/>
      <c r="AN24" s="129"/>
    </row>
    <row r="25" spans="1:40" x14ac:dyDescent="0.3">
      <c r="A25" s="97" t="s">
        <v>4</v>
      </c>
      <c r="B25" s="97"/>
      <c r="C25" s="97"/>
      <c r="D25" s="110">
        <f>SUM(D6:D24)</f>
        <v>213961</v>
      </c>
      <c r="E25" s="110">
        <f t="shared" ref="E25" si="6">SUM(E6:E24)</f>
        <v>52828</v>
      </c>
      <c r="F25" s="110">
        <f>SUM(F6:F24)</f>
        <v>9335</v>
      </c>
      <c r="G25" s="110">
        <f t="shared" ref="G25:AN25" si="7">SUM(G6:G24)</f>
        <v>7431</v>
      </c>
      <c r="H25" s="110">
        <f t="shared" si="7"/>
        <v>7530</v>
      </c>
      <c r="I25" s="110">
        <f t="shared" si="7"/>
        <v>5002</v>
      </c>
      <c r="J25" s="110">
        <f t="shared" si="7"/>
        <v>9614</v>
      </c>
      <c r="K25" s="110">
        <f t="shared" si="7"/>
        <v>7271</v>
      </c>
      <c r="L25" s="110">
        <f t="shared" si="7"/>
        <v>6645</v>
      </c>
      <c r="M25" s="110">
        <f t="shared" si="7"/>
        <v>53681</v>
      </c>
      <c r="N25" s="110">
        <f t="shared" si="7"/>
        <v>7820</v>
      </c>
      <c r="O25" s="110">
        <f t="shared" si="7"/>
        <v>10072</v>
      </c>
      <c r="P25" s="110">
        <f t="shared" si="7"/>
        <v>5801</v>
      </c>
      <c r="Q25" s="110">
        <f t="shared" si="7"/>
        <v>7877</v>
      </c>
      <c r="R25" s="110">
        <f t="shared" si="7"/>
        <v>7540</v>
      </c>
      <c r="S25" s="110">
        <f t="shared" si="7"/>
        <v>8838</v>
      </c>
      <c r="T25" s="110">
        <f t="shared" si="7"/>
        <v>5733</v>
      </c>
      <c r="U25" s="110">
        <f t="shared" si="7"/>
        <v>43827</v>
      </c>
      <c r="V25" s="110">
        <f t="shared" si="7"/>
        <v>7127</v>
      </c>
      <c r="W25" s="110">
        <f t="shared" si="7"/>
        <v>4790</v>
      </c>
      <c r="X25" s="110">
        <f t="shared" si="7"/>
        <v>5720</v>
      </c>
      <c r="Y25" s="110">
        <f t="shared" si="7"/>
        <v>5248</v>
      </c>
      <c r="Z25" s="110">
        <f t="shared" si="7"/>
        <v>7607</v>
      </c>
      <c r="AA25" s="110">
        <f t="shared" si="7"/>
        <v>7073</v>
      </c>
      <c r="AB25" s="110">
        <f t="shared" si="7"/>
        <v>6262</v>
      </c>
      <c r="AC25" s="110">
        <f t="shared" si="7"/>
        <v>44008</v>
      </c>
      <c r="AD25" s="110">
        <f t="shared" si="7"/>
        <v>4337</v>
      </c>
      <c r="AE25" s="110">
        <f t="shared" si="7"/>
        <v>5902</v>
      </c>
      <c r="AF25" s="110">
        <f t="shared" si="7"/>
        <v>8337</v>
      </c>
      <c r="AG25" s="110">
        <f t="shared" si="7"/>
        <v>6755</v>
      </c>
      <c r="AH25" s="110">
        <f t="shared" si="7"/>
        <v>4210</v>
      </c>
      <c r="AI25" s="110">
        <f t="shared" si="7"/>
        <v>6947</v>
      </c>
      <c r="AJ25" s="110">
        <f t="shared" si="7"/>
        <v>7520</v>
      </c>
      <c r="AK25" s="110">
        <f t="shared" si="7"/>
        <v>19617</v>
      </c>
      <c r="AL25" s="110">
        <f t="shared" si="7"/>
        <v>7160</v>
      </c>
      <c r="AM25" s="110">
        <f t="shared" si="7"/>
        <v>4213</v>
      </c>
      <c r="AN25" s="110">
        <f t="shared" si="7"/>
        <v>8244</v>
      </c>
    </row>
    <row r="26" spans="1:40" x14ac:dyDescent="0.3">
      <c r="A26" s="100"/>
      <c r="B26" s="100" t="s">
        <v>6</v>
      </c>
      <c r="C26" s="56" t="s">
        <v>32</v>
      </c>
      <c r="D26" s="104">
        <f>SUM(F26:L26,N26:T26,V26:AB26,AD26:AJ26,AL26:AN26)</f>
        <v>0</v>
      </c>
      <c r="E26" s="127">
        <f t="shared" ref="E26:E27" si="8">SUM(F26:L26)</f>
        <v>0</v>
      </c>
      <c r="F26" s="74"/>
      <c r="G26" s="74"/>
      <c r="H26" s="74"/>
      <c r="I26" s="74"/>
      <c r="J26" s="74"/>
      <c r="K26" s="74"/>
      <c r="L26" s="74"/>
      <c r="M26" s="127">
        <f t="shared" ref="M26:M27" si="9">SUM(N26:T26)</f>
        <v>0</v>
      </c>
      <c r="N26" s="74"/>
      <c r="O26" s="74"/>
      <c r="P26" s="74"/>
      <c r="Q26" s="74"/>
      <c r="R26" s="74"/>
      <c r="S26" s="74"/>
      <c r="T26" s="74"/>
      <c r="U26" s="127">
        <f t="shared" ref="U26:U27" si="10">SUM(V26:AB26)</f>
        <v>0</v>
      </c>
      <c r="V26" s="74"/>
      <c r="W26" s="70"/>
      <c r="X26" s="70"/>
      <c r="Y26" s="70"/>
      <c r="Z26" s="70"/>
      <c r="AA26" s="70"/>
      <c r="AB26" s="70"/>
      <c r="AC26" s="127">
        <f t="shared" ref="AC26:AC27" si="11">SUM(AD26:AJ26)</f>
        <v>0</v>
      </c>
      <c r="AD26" s="70"/>
      <c r="AE26" s="70"/>
      <c r="AF26" s="70"/>
      <c r="AG26" s="70"/>
      <c r="AH26" s="70"/>
      <c r="AI26" s="70"/>
      <c r="AJ26" s="70"/>
      <c r="AK26" s="127">
        <f t="shared" ref="AK26:AK27" si="12">SUM(AL26:AR26)</f>
        <v>0</v>
      </c>
      <c r="AL26" s="70"/>
      <c r="AM26" s="70"/>
      <c r="AN26" s="70"/>
    </row>
    <row r="27" spans="1:40" x14ac:dyDescent="0.3">
      <c r="A27" s="100"/>
      <c r="B27" s="100"/>
      <c r="C27" s="56" t="s">
        <v>121</v>
      </c>
      <c r="D27" s="104">
        <f>SUM(F27:L27,N27:T27,V27:AB27,AD27:AJ27,AL27:AN27)</f>
        <v>61136</v>
      </c>
      <c r="E27" s="127">
        <f t="shared" si="8"/>
        <v>11118</v>
      </c>
      <c r="F27" s="74">
        <f>492+1240</f>
        <v>1732</v>
      </c>
      <c r="G27" s="74">
        <f>1138+250</f>
        <v>1388</v>
      </c>
      <c r="H27" s="74">
        <f>150+1450</f>
        <v>1600</v>
      </c>
      <c r="I27" s="74">
        <f>1530+500</f>
        <v>2030</v>
      </c>
      <c r="J27" s="74">
        <f>640+1240</f>
        <v>1880</v>
      </c>
      <c r="K27" s="74">
        <f>1138+150</f>
        <v>1288</v>
      </c>
      <c r="L27" s="74">
        <f>150+1050</f>
        <v>1200</v>
      </c>
      <c r="M27" s="127">
        <f t="shared" si="9"/>
        <v>16216</v>
      </c>
      <c r="N27" s="74">
        <f>1740+1060</f>
        <v>2800</v>
      </c>
      <c r="O27" s="74">
        <f>1720+1240</f>
        <v>2960</v>
      </c>
      <c r="P27" s="74">
        <f>1138+530</f>
        <v>1668</v>
      </c>
      <c r="Q27" s="74">
        <f>640+1250</f>
        <v>1890</v>
      </c>
      <c r="R27" s="74">
        <f>1330+1280</f>
        <v>2610</v>
      </c>
      <c r="S27" s="74">
        <f>1540+1240</f>
        <v>2780</v>
      </c>
      <c r="T27" s="70">
        <f>1138+370</f>
        <v>1508</v>
      </c>
      <c r="U27" s="127">
        <f t="shared" si="10"/>
        <v>14218</v>
      </c>
      <c r="V27" s="70">
        <f>640+1450</f>
        <v>2090</v>
      </c>
      <c r="W27" s="70">
        <f>260+1680</f>
        <v>1940</v>
      </c>
      <c r="X27" s="70">
        <f>960+440</f>
        <v>1400</v>
      </c>
      <c r="Y27" s="70">
        <f>1138+370</f>
        <v>1508</v>
      </c>
      <c r="Z27" s="70">
        <f>640+1750</f>
        <v>2390</v>
      </c>
      <c r="AA27" s="70">
        <f>1780+1550</f>
        <v>3330</v>
      </c>
      <c r="AB27" s="70">
        <f>1120+440</f>
        <v>1560</v>
      </c>
      <c r="AC27" s="127">
        <f t="shared" si="11"/>
        <v>13676</v>
      </c>
      <c r="AD27" s="70">
        <f>1138+240</f>
        <v>1378</v>
      </c>
      <c r="AE27" s="70">
        <f>640+480</f>
        <v>1120</v>
      </c>
      <c r="AF27" s="70">
        <f>2500+790</f>
        <v>3290</v>
      </c>
      <c r="AG27" s="70">
        <f>1370+440</f>
        <v>1810</v>
      </c>
      <c r="AH27" s="70">
        <f>1138+240</f>
        <v>1378</v>
      </c>
      <c r="AI27" s="70">
        <f>650+1350</f>
        <v>2000</v>
      </c>
      <c r="AJ27" s="70">
        <f>1800+900</f>
        <v>2700</v>
      </c>
      <c r="AK27" s="127">
        <f t="shared" si="12"/>
        <v>5908</v>
      </c>
      <c r="AL27" s="70">
        <f>1380+440</f>
        <v>1820</v>
      </c>
      <c r="AM27" s="70">
        <f>1138+150</f>
        <v>1288</v>
      </c>
      <c r="AN27" s="70">
        <f>1150+1650</f>
        <v>2800</v>
      </c>
    </row>
    <row r="28" spans="1:40" x14ac:dyDescent="0.3">
      <c r="A28" s="97" t="s">
        <v>4</v>
      </c>
      <c r="B28" s="97"/>
      <c r="C28" s="97"/>
      <c r="D28" s="104">
        <f t="shared" ref="D28" si="13">SUM(F28:L28,N28:T28,V28:AB28,AD28:AJ28,AL28:AN28)</f>
        <v>61136</v>
      </c>
      <c r="E28" s="110">
        <f t="shared" ref="E28" si="14">SUM(E26:E27)</f>
        <v>11118</v>
      </c>
      <c r="F28" s="131">
        <f>SUM(F26:F27)</f>
        <v>1732</v>
      </c>
      <c r="G28" s="131">
        <f t="shared" ref="G28:AN28" si="15">SUM(G26:G27)</f>
        <v>1388</v>
      </c>
      <c r="H28" s="131">
        <f t="shared" si="15"/>
        <v>1600</v>
      </c>
      <c r="I28" s="131">
        <f t="shared" si="15"/>
        <v>2030</v>
      </c>
      <c r="J28" s="131">
        <f t="shared" si="15"/>
        <v>1880</v>
      </c>
      <c r="K28" s="131">
        <f t="shared" si="15"/>
        <v>1288</v>
      </c>
      <c r="L28" s="131">
        <f t="shared" si="15"/>
        <v>1200</v>
      </c>
      <c r="M28" s="131">
        <f t="shared" si="15"/>
        <v>16216</v>
      </c>
      <c r="N28" s="131">
        <f t="shared" si="15"/>
        <v>2800</v>
      </c>
      <c r="O28" s="131">
        <f t="shared" si="15"/>
        <v>2960</v>
      </c>
      <c r="P28" s="131">
        <f t="shared" si="15"/>
        <v>1668</v>
      </c>
      <c r="Q28" s="131">
        <f t="shared" si="15"/>
        <v>1890</v>
      </c>
      <c r="R28" s="131">
        <f t="shared" si="15"/>
        <v>2610</v>
      </c>
      <c r="S28" s="131">
        <f t="shared" si="15"/>
        <v>2780</v>
      </c>
      <c r="T28" s="131">
        <f t="shared" si="15"/>
        <v>1508</v>
      </c>
      <c r="U28" s="131">
        <f t="shared" si="15"/>
        <v>14218</v>
      </c>
      <c r="V28" s="131">
        <f t="shared" si="15"/>
        <v>2090</v>
      </c>
      <c r="W28" s="131">
        <f t="shared" si="15"/>
        <v>1940</v>
      </c>
      <c r="X28" s="131">
        <f t="shared" si="15"/>
        <v>1400</v>
      </c>
      <c r="Y28" s="131">
        <f t="shared" si="15"/>
        <v>1508</v>
      </c>
      <c r="Z28" s="131">
        <f t="shared" si="15"/>
        <v>2390</v>
      </c>
      <c r="AA28" s="131">
        <f t="shared" si="15"/>
        <v>3330</v>
      </c>
      <c r="AB28" s="131">
        <f t="shared" si="15"/>
        <v>1560</v>
      </c>
      <c r="AC28" s="131">
        <f t="shared" si="15"/>
        <v>13676</v>
      </c>
      <c r="AD28" s="131">
        <f t="shared" si="15"/>
        <v>1378</v>
      </c>
      <c r="AE28" s="131">
        <f t="shared" si="15"/>
        <v>1120</v>
      </c>
      <c r="AF28" s="131">
        <f t="shared" si="15"/>
        <v>3290</v>
      </c>
      <c r="AG28" s="131">
        <f t="shared" si="15"/>
        <v>1810</v>
      </c>
      <c r="AH28" s="131">
        <f t="shared" si="15"/>
        <v>1378</v>
      </c>
      <c r="AI28" s="131">
        <f t="shared" si="15"/>
        <v>2000</v>
      </c>
      <c r="AJ28" s="131">
        <f t="shared" si="15"/>
        <v>2700</v>
      </c>
      <c r="AK28" s="131">
        <f t="shared" si="15"/>
        <v>5908</v>
      </c>
      <c r="AL28" s="131">
        <f t="shared" si="15"/>
        <v>1820</v>
      </c>
      <c r="AM28" s="131">
        <f t="shared" si="15"/>
        <v>1288</v>
      </c>
      <c r="AN28" s="131">
        <f t="shared" si="15"/>
        <v>2800</v>
      </c>
    </row>
    <row r="29" spans="1:40" x14ac:dyDescent="0.3">
      <c r="A29" s="113" t="s">
        <v>87</v>
      </c>
      <c r="B29" s="113"/>
      <c r="C29" s="113"/>
      <c r="D29" s="114">
        <f>SUM(D28,D25)</f>
        <v>275097</v>
      </c>
      <c r="E29" s="132">
        <f t="shared" ref="E29" si="16">SUM(E25,E28)</f>
        <v>63946</v>
      </c>
      <c r="F29" s="132">
        <f>SUM(F25,F28)</f>
        <v>11067</v>
      </c>
      <c r="G29" s="132">
        <f t="shared" ref="G29:AN29" si="17">SUM(G25,G28)</f>
        <v>8819</v>
      </c>
      <c r="H29" s="132">
        <f t="shared" si="17"/>
        <v>9130</v>
      </c>
      <c r="I29" s="132">
        <f t="shared" si="17"/>
        <v>7032</v>
      </c>
      <c r="J29" s="132">
        <f t="shared" si="17"/>
        <v>11494</v>
      </c>
      <c r="K29" s="132">
        <f t="shared" si="17"/>
        <v>8559</v>
      </c>
      <c r="L29" s="132">
        <f t="shared" si="17"/>
        <v>7845</v>
      </c>
      <c r="M29" s="132">
        <f t="shared" si="17"/>
        <v>69897</v>
      </c>
      <c r="N29" s="132">
        <f t="shared" si="17"/>
        <v>10620</v>
      </c>
      <c r="O29" s="132">
        <f t="shared" si="17"/>
        <v>13032</v>
      </c>
      <c r="P29" s="132">
        <f t="shared" si="17"/>
        <v>7469</v>
      </c>
      <c r="Q29" s="132">
        <f t="shared" si="17"/>
        <v>9767</v>
      </c>
      <c r="R29" s="132">
        <f t="shared" si="17"/>
        <v>10150</v>
      </c>
      <c r="S29" s="132">
        <f t="shared" si="17"/>
        <v>11618</v>
      </c>
      <c r="T29" s="132">
        <f t="shared" si="17"/>
        <v>7241</v>
      </c>
      <c r="U29" s="132">
        <f t="shared" si="17"/>
        <v>58045</v>
      </c>
      <c r="V29" s="132">
        <f t="shared" si="17"/>
        <v>9217</v>
      </c>
      <c r="W29" s="132">
        <f t="shared" si="17"/>
        <v>6730</v>
      </c>
      <c r="X29" s="132">
        <f t="shared" si="17"/>
        <v>7120</v>
      </c>
      <c r="Y29" s="132">
        <f t="shared" si="17"/>
        <v>6756</v>
      </c>
      <c r="Z29" s="132">
        <f t="shared" si="17"/>
        <v>9997</v>
      </c>
      <c r="AA29" s="132">
        <f t="shared" si="17"/>
        <v>10403</v>
      </c>
      <c r="AB29" s="132">
        <f t="shared" si="17"/>
        <v>7822</v>
      </c>
      <c r="AC29" s="132">
        <f t="shared" si="17"/>
        <v>57684</v>
      </c>
      <c r="AD29" s="132">
        <f t="shared" si="17"/>
        <v>5715</v>
      </c>
      <c r="AE29" s="132">
        <f t="shared" si="17"/>
        <v>7022</v>
      </c>
      <c r="AF29" s="132">
        <f t="shared" si="17"/>
        <v>11627</v>
      </c>
      <c r="AG29" s="132">
        <f t="shared" si="17"/>
        <v>8565</v>
      </c>
      <c r="AH29" s="132">
        <f t="shared" si="17"/>
        <v>5588</v>
      </c>
      <c r="AI29" s="132">
        <f t="shared" si="17"/>
        <v>8947</v>
      </c>
      <c r="AJ29" s="132">
        <f t="shared" si="17"/>
        <v>10220</v>
      </c>
      <c r="AK29" s="132">
        <f t="shared" si="17"/>
        <v>25525</v>
      </c>
      <c r="AL29" s="132">
        <f t="shared" si="17"/>
        <v>8980</v>
      </c>
      <c r="AM29" s="132">
        <f t="shared" si="17"/>
        <v>5501</v>
      </c>
      <c r="AN29" s="132">
        <f t="shared" si="17"/>
        <v>11044</v>
      </c>
    </row>
    <row r="30" spans="1:40" x14ac:dyDescent="0.3">
      <c r="I30" s="133">
        <f>SUM(F29:I29)</f>
        <v>36048</v>
      </c>
      <c r="Q30" s="133">
        <f>SUM(J29:L29,N29:Q29)</f>
        <v>68786</v>
      </c>
      <c r="Y30" s="133">
        <f>SUM(R29:T29,V29:Y29)</f>
        <v>58832</v>
      </c>
      <c r="AG30" s="133">
        <f>SUM(Z29:AB29,AD29:AG29)</f>
        <v>61151</v>
      </c>
      <c r="AN30" s="133">
        <f>SUM(AH29:AJ29,AL29:AN29)</f>
        <v>50280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A7" zoomScaleNormal="100" workbookViewId="0">
      <selection activeCell="H18" sqref="H18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125" style="44" bestFit="1" customWidth="1"/>
    <col min="5" max="5" width="9" style="44" bestFit="1" customWidth="1"/>
    <col min="6" max="12" width="8.875" style="44" bestFit="1" customWidth="1"/>
    <col min="13" max="13" width="9" style="44" bestFit="1" customWidth="1"/>
    <col min="14" max="20" width="8.875" style="44" bestFit="1" customWidth="1"/>
    <col min="21" max="22" width="9" style="44" bestFit="1" customWidth="1"/>
    <col min="23" max="23" width="8.875" style="44" bestFit="1" customWidth="1"/>
    <col min="24" max="16384" width="9" style="44"/>
  </cols>
  <sheetData>
    <row r="1" spans="1:40" ht="26.25" x14ac:dyDescent="0.3">
      <c r="A1" s="94" t="s">
        <v>175</v>
      </c>
      <c r="B1" s="94"/>
      <c r="C1" s="94"/>
      <c r="D1" s="94"/>
      <c r="I1" s="95"/>
      <c r="J1" s="95"/>
      <c r="K1" s="95"/>
      <c r="L1" s="95"/>
      <c r="M1" s="95"/>
      <c r="N1" s="95"/>
      <c r="O1" s="95"/>
    </row>
    <row r="2" spans="1:40" ht="26.25" x14ac:dyDescent="0.3">
      <c r="A2" s="47"/>
      <c r="B2" s="48"/>
      <c r="C2" s="48"/>
      <c r="D2" s="96"/>
      <c r="F2" s="48"/>
      <c r="G2" s="48"/>
      <c r="H2" s="48"/>
      <c r="I2" s="49"/>
      <c r="J2" s="49"/>
      <c r="K2" s="49"/>
      <c r="L2" s="49"/>
      <c r="M2" s="49"/>
      <c r="N2" s="49"/>
      <c r="O2" s="49"/>
      <c r="P2" s="48"/>
      <c r="Q2" s="48"/>
      <c r="R2" s="48"/>
      <c r="S2" s="48"/>
      <c r="T2" s="48"/>
      <c r="V2" s="48"/>
    </row>
    <row r="3" spans="1:40" x14ac:dyDescent="0.3">
      <c r="A3" s="97" t="s">
        <v>19</v>
      </c>
      <c r="B3" s="97"/>
      <c r="C3" s="97"/>
      <c r="D3" s="98" t="s">
        <v>5</v>
      </c>
      <c r="E3" s="125" t="s">
        <v>176</v>
      </c>
      <c r="F3" s="99">
        <v>1</v>
      </c>
      <c r="G3" s="99">
        <v>2</v>
      </c>
      <c r="H3" s="99">
        <v>3</v>
      </c>
      <c r="I3" s="99">
        <v>4</v>
      </c>
      <c r="J3" s="99">
        <v>5</v>
      </c>
      <c r="K3" s="99">
        <v>6</v>
      </c>
      <c r="L3" s="99">
        <v>7</v>
      </c>
      <c r="M3" s="125" t="s">
        <v>176</v>
      </c>
      <c r="N3" s="99">
        <v>8</v>
      </c>
      <c r="O3" s="99">
        <v>9</v>
      </c>
      <c r="P3" s="99">
        <v>10</v>
      </c>
      <c r="Q3" s="99">
        <v>11</v>
      </c>
      <c r="R3" s="99">
        <v>12</v>
      </c>
      <c r="S3" s="99">
        <v>13</v>
      </c>
      <c r="T3" s="99">
        <v>14</v>
      </c>
      <c r="U3" s="125" t="s">
        <v>176</v>
      </c>
      <c r="V3" s="99">
        <v>15</v>
      </c>
      <c r="W3" s="99">
        <v>16</v>
      </c>
      <c r="X3" s="99">
        <v>17</v>
      </c>
      <c r="Y3" s="99">
        <v>18</v>
      </c>
      <c r="Z3" s="99">
        <v>19</v>
      </c>
      <c r="AA3" s="99">
        <v>20</v>
      </c>
      <c r="AB3" s="99">
        <v>21</v>
      </c>
      <c r="AC3" s="125" t="s">
        <v>176</v>
      </c>
      <c r="AD3" s="99">
        <v>22</v>
      </c>
      <c r="AE3" s="99">
        <v>23</v>
      </c>
      <c r="AF3" s="99">
        <v>24</v>
      </c>
      <c r="AG3" s="99">
        <v>25</v>
      </c>
      <c r="AH3" s="99">
        <v>26</v>
      </c>
      <c r="AI3" s="99">
        <v>27</v>
      </c>
      <c r="AJ3" s="99">
        <v>28</v>
      </c>
      <c r="AK3" s="125" t="s">
        <v>176</v>
      </c>
      <c r="AL3" s="99">
        <v>29</v>
      </c>
      <c r="AM3" s="99">
        <v>30</v>
      </c>
      <c r="AN3" s="99">
        <v>31</v>
      </c>
    </row>
    <row r="4" spans="1:40" x14ac:dyDescent="0.3">
      <c r="A4" s="97" t="s">
        <v>18</v>
      </c>
      <c r="B4" s="97"/>
      <c r="C4" s="97"/>
      <c r="D4" s="98"/>
      <c r="E4" s="125"/>
      <c r="F4" s="56" t="s">
        <v>177</v>
      </c>
      <c r="G4" s="56" t="s">
        <v>55</v>
      </c>
      <c r="H4" s="56" t="s">
        <v>56</v>
      </c>
      <c r="I4" s="56" t="s">
        <v>57</v>
      </c>
      <c r="J4" s="56" t="s">
        <v>58</v>
      </c>
      <c r="K4" s="56" t="s">
        <v>59</v>
      </c>
      <c r="L4" s="56" t="s">
        <v>60</v>
      </c>
      <c r="M4" s="125"/>
      <c r="N4" s="56" t="s">
        <v>177</v>
      </c>
      <c r="O4" s="56" t="s">
        <v>55</v>
      </c>
      <c r="P4" s="56" t="s">
        <v>56</v>
      </c>
      <c r="Q4" s="56" t="s">
        <v>57</v>
      </c>
      <c r="R4" s="56" t="s">
        <v>58</v>
      </c>
      <c r="S4" s="56" t="s">
        <v>59</v>
      </c>
      <c r="T4" s="56" t="s">
        <v>60</v>
      </c>
      <c r="U4" s="125"/>
      <c r="V4" s="56" t="s">
        <v>177</v>
      </c>
      <c r="W4" s="56" t="s">
        <v>55</v>
      </c>
      <c r="X4" s="56" t="s">
        <v>56</v>
      </c>
      <c r="Y4" s="56" t="s">
        <v>57</v>
      </c>
      <c r="Z4" s="56" t="s">
        <v>58</v>
      </c>
      <c r="AA4" s="56" t="s">
        <v>59</v>
      </c>
      <c r="AB4" s="56" t="s">
        <v>60</v>
      </c>
      <c r="AC4" s="125"/>
      <c r="AD4" s="56" t="s">
        <v>177</v>
      </c>
      <c r="AE4" s="56" t="s">
        <v>55</v>
      </c>
      <c r="AF4" s="56" t="s">
        <v>56</v>
      </c>
      <c r="AG4" s="56" t="s">
        <v>57</v>
      </c>
      <c r="AH4" s="56" t="s">
        <v>58</v>
      </c>
      <c r="AI4" s="56" t="s">
        <v>59</v>
      </c>
      <c r="AJ4" s="56" t="s">
        <v>60</v>
      </c>
      <c r="AK4" s="125"/>
      <c r="AL4" s="56" t="s">
        <v>177</v>
      </c>
      <c r="AM4" s="56" t="s">
        <v>55</v>
      </c>
      <c r="AN4" s="56" t="s">
        <v>56</v>
      </c>
    </row>
    <row r="5" spans="1:40" x14ac:dyDescent="0.3">
      <c r="A5" s="100" t="s">
        <v>31</v>
      </c>
      <c r="B5" s="100" t="s">
        <v>30</v>
      </c>
      <c r="C5" s="100"/>
      <c r="D5" s="101"/>
      <c r="E5" s="126"/>
      <c r="F5" s="102" t="s">
        <v>178</v>
      </c>
      <c r="G5" s="61" t="s">
        <v>178</v>
      </c>
      <c r="H5" s="61" t="s">
        <v>179</v>
      </c>
      <c r="I5" s="61" t="s">
        <v>180</v>
      </c>
      <c r="J5" s="61" t="s">
        <v>181</v>
      </c>
      <c r="K5" s="61" t="s">
        <v>180</v>
      </c>
      <c r="L5" s="61" t="s">
        <v>180</v>
      </c>
      <c r="M5" s="126"/>
      <c r="N5" s="61" t="s">
        <v>180</v>
      </c>
      <c r="O5" s="61" t="s">
        <v>180</v>
      </c>
      <c r="P5" s="61" t="s">
        <v>180</v>
      </c>
      <c r="Q5" s="61" t="s">
        <v>180</v>
      </c>
      <c r="R5" s="61" t="s">
        <v>178</v>
      </c>
      <c r="S5" s="61" t="s">
        <v>181</v>
      </c>
      <c r="T5" s="61" t="s">
        <v>179</v>
      </c>
      <c r="U5" s="126"/>
      <c r="V5" s="61" t="s">
        <v>111</v>
      </c>
      <c r="W5" s="102" t="s">
        <v>180</v>
      </c>
      <c r="X5" s="102" t="s">
        <v>182</v>
      </c>
      <c r="Y5" s="102" t="s">
        <v>183</v>
      </c>
      <c r="Z5" s="102" t="s">
        <v>180</v>
      </c>
      <c r="AA5" s="102" t="s">
        <v>178</v>
      </c>
      <c r="AB5" s="102" t="s">
        <v>178</v>
      </c>
      <c r="AC5" s="126"/>
      <c r="AD5" s="102" t="s">
        <v>179</v>
      </c>
      <c r="AE5" s="102" t="s">
        <v>184</v>
      </c>
      <c r="AF5" s="102" t="s">
        <v>150</v>
      </c>
      <c r="AG5" s="102" t="s">
        <v>185</v>
      </c>
      <c r="AH5" s="102" t="s">
        <v>179</v>
      </c>
      <c r="AI5" s="102" t="s">
        <v>184</v>
      </c>
      <c r="AJ5" s="102" t="s">
        <v>178</v>
      </c>
      <c r="AK5" s="126"/>
      <c r="AL5" s="102" t="s">
        <v>179</v>
      </c>
      <c r="AM5" s="102" t="s">
        <v>179</v>
      </c>
      <c r="AN5" s="102" t="s">
        <v>184</v>
      </c>
    </row>
    <row r="6" spans="1:40" x14ac:dyDescent="0.3">
      <c r="A6" s="100"/>
      <c r="B6" s="103" t="s">
        <v>21</v>
      </c>
      <c r="C6" s="103"/>
      <c r="D6" s="104">
        <f t="shared" ref="D6:D24" si="0">SUM(E6,M6,U6,AC6,AK6)</f>
        <v>2281</v>
      </c>
      <c r="E6" s="127">
        <f t="shared" ref="E6:E24" si="1">SUM(F6:L6)</f>
        <v>361</v>
      </c>
      <c r="F6" s="74">
        <v>0</v>
      </c>
      <c r="G6" s="74">
        <v>0</v>
      </c>
      <c r="H6" s="74">
        <v>175</v>
      </c>
      <c r="I6" s="74">
        <v>0</v>
      </c>
      <c r="J6" s="74">
        <v>0</v>
      </c>
      <c r="K6" s="74">
        <v>0</v>
      </c>
      <c r="L6" s="74">
        <f>120+66</f>
        <v>186</v>
      </c>
      <c r="M6" s="127">
        <f t="shared" ref="M6:M24" si="2">SUM(N6:T6)</f>
        <v>200</v>
      </c>
      <c r="N6" s="74">
        <v>0</v>
      </c>
      <c r="O6" s="74">
        <v>0</v>
      </c>
      <c r="P6" s="74">
        <v>0</v>
      </c>
      <c r="Q6" s="128">
        <v>200</v>
      </c>
      <c r="R6" s="74">
        <v>0</v>
      </c>
      <c r="S6" s="74">
        <v>0</v>
      </c>
      <c r="T6" s="70">
        <v>0</v>
      </c>
      <c r="U6" s="127">
        <f t="shared" ref="U6:U24" si="3">SUM(V6:AB6)</f>
        <v>240</v>
      </c>
      <c r="V6" s="70">
        <v>120</v>
      </c>
      <c r="W6" s="129">
        <v>0</v>
      </c>
      <c r="X6" s="129">
        <v>0</v>
      </c>
      <c r="Y6" s="129">
        <v>0</v>
      </c>
      <c r="Z6" s="129">
        <v>120</v>
      </c>
      <c r="AA6" s="129">
        <v>0</v>
      </c>
      <c r="AB6" s="129">
        <v>0</v>
      </c>
      <c r="AC6" s="127">
        <f t="shared" ref="AC6:AC24" si="4">SUM(AD6:AJ6)</f>
        <v>920</v>
      </c>
      <c r="AD6" s="129">
        <v>0</v>
      </c>
      <c r="AE6" s="129">
        <v>200</v>
      </c>
      <c r="AF6" s="129">
        <v>0</v>
      </c>
      <c r="AG6" s="129">
        <v>0</v>
      </c>
      <c r="AH6" s="129">
        <v>300</v>
      </c>
      <c r="AI6" s="129">
        <v>230</v>
      </c>
      <c r="AJ6" s="129">
        <v>190</v>
      </c>
      <c r="AK6" s="127">
        <f t="shared" ref="AK6:AK24" si="5">SUM(AL6:AN6)</f>
        <v>560</v>
      </c>
      <c r="AL6" s="129">
        <v>100</v>
      </c>
      <c r="AM6" s="129">
        <v>380</v>
      </c>
      <c r="AN6" s="129">
        <v>80</v>
      </c>
    </row>
    <row r="7" spans="1:40" x14ac:dyDescent="0.3">
      <c r="A7" s="100"/>
      <c r="B7" s="103" t="s">
        <v>22</v>
      </c>
      <c r="C7" s="103"/>
      <c r="D7" s="104">
        <f t="shared" si="0"/>
        <v>50465</v>
      </c>
      <c r="E7" s="127">
        <f t="shared" si="1"/>
        <v>8065</v>
      </c>
      <c r="F7" s="74">
        <v>1740</v>
      </c>
      <c r="G7" s="74">
        <v>950</v>
      </c>
      <c r="H7" s="74">
        <v>425</v>
      </c>
      <c r="I7" s="74">
        <v>1900</v>
      </c>
      <c r="J7" s="74">
        <v>1680</v>
      </c>
      <c r="K7" s="74">
        <v>950</v>
      </c>
      <c r="L7" s="74">
        <v>420</v>
      </c>
      <c r="M7" s="127">
        <f t="shared" si="2"/>
        <v>10640</v>
      </c>
      <c r="N7" s="74">
        <v>2700</v>
      </c>
      <c r="O7" s="74">
        <v>1540</v>
      </c>
      <c r="P7" s="74">
        <v>950</v>
      </c>
      <c r="Q7" s="74">
        <v>560</v>
      </c>
      <c r="R7" s="74">
        <v>2400</v>
      </c>
      <c r="S7" s="74">
        <v>1540</v>
      </c>
      <c r="T7" s="70">
        <v>950</v>
      </c>
      <c r="U7" s="127">
        <f t="shared" si="3"/>
        <v>16930</v>
      </c>
      <c r="V7" s="70">
        <v>2200</v>
      </c>
      <c r="W7" s="129">
        <v>3100</v>
      </c>
      <c r="X7" s="129">
        <v>3080</v>
      </c>
      <c r="Y7" s="129">
        <v>3100</v>
      </c>
      <c r="Z7" s="129">
        <v>1700</v>
      </c>
      <c r="AA7" s="129">
        <v>3000</v>
      </c>
      <c r="AB7" s="129">
        <v>750</v>
      </c>
      <c r="AC7" s="127">
        <f t="shared" si="4"/>
        <v>10540</v>
      </c>
      <c r="AD7" s="129">
        <v>2150</v>
      </c>
      <c r="AE7" s="129">
        <v>500</v>
      </c>
      <c r="AF7" s="129">
        <v>750</v>
      </c>
      <c r="AG7" s="129">
        <v>1190</v>
      </c>
      <c r="AH7" s="129">
        <v>2150</v>
      </c>
      <c r="AI7" s="129">
        <v>400</v>
      </c>
      <c r="AJ7" s="129">
        <v>3400</v>
      </c>
      <c r="AK7" s="127">
        <f t="shared" si="5"/>
        <v>4290</v>
      </c>
      <c r="AL7" s="129">
        <v>1640</v>
      </c>
      <c r="AM7" s="129">
        <v>2150</v>
      </c>
      <c r="AN7" s="129">
        <v>500</v>
      </c>
    </row>
    <row r="8" spans="1:40" x14ac:dyDescent="0.3">
      <c r="A8" s="100"/>
      <c r="B8" s="103" t="s">
        <v>24</v>
      </c>
      <c r="C8" s="103"/>
      <c r="D8" s="110">
        <v>81380</v>
      </c>
      <c r="E8" s="127">
        <f t="shared" si="1"/>
        <v>13470</v>
      </c>
      <c r="F8" s="74">
        <v>1770</v>
      </c>
      <c r="G8" s="74">
        <v>2760</v>
      </c>
      <c r="H8" s="74">
        <v>1100</v>
      </c>
      <c r="I8" s="74">
        <v>1620</v>
      </c>
      <c r="J8" s="74">
        <v>2270</v>
      </c>
      <c r="K8" s="74">
        <v>2850</v>
      </c>
      <c r="L8" s="74">
        <v>1100</v>
      </c>
      <c r="M8" s="127">
        <f t="shared" si="2"/>
        <v>16340</v>
      </c>
      <c r="N8" s="74">
        <v>1910</v>
      </c>
      <c r="O8" s="74">
        <v>2270</v>
      </c>
      <c r="P8" s="74">
        <v>3100</v>
      </c>
      <c r="Q8" s="74">
        <v>1100</v>
      </c>
      <c r="R8" s="74">
        <v>2290</v>
      </c>
      <c r="S8" s="74">
        <v>2270</v>
      </c>
      <c r="T8" s="70">
        <v>3400</v>
      </c>
      <c r="U8" s="127">
        <f t="shared" si="3"/>
        <v>18480</v>
      </c>
      <c r="V8" s="70">
        <v>3000</v>
      </c>
      <c r="W8" s="130">
        <v>1610</v>
      </c>
      <c r="X8" s="130">
        <v>2070</v>
      </c>
      <c r="Y8" s="130">
        <v>3110</v>
      </c>
      <c r="Z8" s="130">
        <v>3000</v>
      </c>
      <c r="AA8" s="130">
        <v>3120</v>
      </c>
      <c r="AB8" s="130">
        <v>2570</v>
      </c>
      <c r="AC8" s="127">
        <f t="shared" si="4"/>
        <v>21010</v>
      </c>
      <c r="AD8" s="130">
        <v>3290</v>
      </c>
      <c r="AE8" s="130">
        <v>3000</v>
      </c>
      <c r="AF8" s="130">
        <v>3020</v>
      </c>
      <c r="AG8" s="130">
        <v>2800</v>
      </c>
      <c r="AH8" s="130">
        <v>2560</v>
      </c>
      <c r="AI8" s="130">
        <v>3000</v>
      </c>
      <c r="AJ8" s="130">
        <v>3340</v>
      </c>
      <c r="AK8" s="127">
        <f t="shared" si="5"/>
        <v>9080</v>
      </c>
      <c r="AL8" s="129">
        <v>3000</v>
      </c>
      <c r="AM8" s="129">
        <v>3080</v>
      </c>
      <c r="AN8" s="129">
        <v>3000</v>
      </c>
    </row>
    <row r="9" spans="1:40" x14ac:dyDescent="0.3">
      <c r="A9" s="100"/>
      <c r="B9" s="103" t="s">
        <v>28</v>
      </c>
      <c r="C9" s="103"/>
      <c r="D9" s="104">
        <f t="shared" si="0"/>
        <v>5361</v>
      </c>
      <c r="E9" s="127">
        <f t="shared" si="1"/>
        <v>190</v>
      </c>
      <c r="F9" s="74">
        <v>0</v>
      </c>
      <c r="G9" s="74">
        <v>0</v>
      </c>
      <c r="H9" s="74">
        <v>21</v>
      </c>
      <c r="I9" s="90">
        <v>153</v>
      </c>
      <c r="J9" s="74">
        <v>0</v>
      </c>
      <c r="K9" s="74">
        <v>0</v>
      </c>
      <c r="L9" s="74">
        <v>16</v>
      </c>
      <c r="M9" s="127">
        <f t="shared" si="2"/>
        <v>267</v>
      </c>
      <c r="N9" s="74">
        <v>135</v>
      </c>
      <c r="O9" s="74">
        <v>0</v>
      </c>
      <c r="P9" s="74">
        <v>0</v>
      </c>
      <c r="Q9" s="74">
        <v>0</v>
      </c>
      <c r="R9" s="74">
        <f>110+22</f>
        <v>132</v>
      </c>
      <c r="S9" s="74">
        <v>0</v>
      </c>
      <c r="T9" s="70">
        <v>0</v>
      </c>
      <c r="U9" s="127">
        <f t="shared" si="3"/>
        <v>4297</v>
      </c>
      <c r="V9" s="70">
        <v>1420</v>
      </c>
      <c r="W9" s="130">
        <v>35</v>
      </c>
      <c r="X9" s="130">
        <v>720</v>
      </c>
      <c r="Y9" s="130">
        <v>710</v>
      </c>
      <c r="Z9" s="130">
        <v>1260</v>
      </c>
      <c r="AA9" s="130">
        <v>152</v>
      </c>
      <c r="AB9" s="130">
        <v>0</v>
      </c>
      <c r="AC9" s="127">
        <f t="shared" si="4"/>
        <v>334</v>
      </c>
      <c r="AD9" s="130">
        <v>0</v>
      </c>
      <c r="AE9" s="130">
        <v>8</v>
      </c>
      <c r="AF9" s="130">
        <v>102</v>
      </c>
      <c r="AG9" s="130">
        <v>0</v>
      </c>
      <c r="AH9" s="130">
        <v>0</v>
      </c>
      <c r="AI9" s="130">
        <v>5</v>
      </c>
      <c r="AJ9" s="130">
        <v>219</v>
      </c>
      <c r="AK9" s="127">
        <f t="shared" si="5"/>
        <v>273</v>
      </c>
      <c r="AL9" s="130">
        <v>240</v>
      </c>
      <c r="AM9" s="130">
        <v>0</v>
      </c>
      <c r="AN9" s="130">
        <v>33</v>
      </c>
    </row>
    <row r="10" spans="1:40" x14ac:dyDescent="0.3">
      <c r="A10" s="100"/>
      <c r="B10" s="107" t="s">
        <v>17</v>
      </c>
      <c r="C10" s="107"/>
      <c r="D10" s="104">
        <f t="shared" si="0"/>
        <v>0</v>
      </c>
      <c r="E10" s="127">
        <f t="shared" si="1"/>
        <v>0</v>
      </c>
      <c r="F10" s="130"/>
      <c r="G10" s="74"/>
      <c r="H10" s="130"/>
      <c r="I10" s="130"/>
      <c r="J10" s="74"/>
      <c r="K10" s="130"/>
      <c r="L10" s="130"/>
      <c r="M10" s="127">
        <f t="shared" si="2"/>
        <v>0</v>
      </c>
      <c r="N10" s="130"/>
      <c r="O10" s="130"/>
      <c r="P10" s="74"/>
      <c r="Q10" s="130"/>
      <c r="R10" s="130"/>
      <c r="S10" s="130"/>
      <c r="T10" s="130"/>
      <c r="U10" s="127">
        <f t="shared" si="3"/>
        <v>0</v>
      </c>
      <c r="V10" s="130"/>
      <c r="W10" s="130"/>
      <c r="X10" s="130"/>
      <c r="Y10" s="130"/>
      <c r="Z10" s="130"/>
      <c r="AA10" s="130"/>
      <c r="AB10" s="130"/>
      <c r="AC10" s="127">
        <f t="shared" si="4"/>
        <v>0</v>
      </c>
      <c r="AD10" s="130"/>
      <c r="AE10" s="130"/>
      <c r="AF10" s="130"/>
      <c r="AG10" s="130"/>
      <c r="AH10" s="130"/>
      <c r="AI10" s="130"/>
      <c r="AJ10" s="130"/>
      <c r="AK10" s="127">
        <f t="shared" si="5"/>
        <v>0</v>
      </c>
      <c r="AL10" s="130"/>
      <c r="AM10" s="130"/>
      <c r="AN10" s="130"/>
    </row>
    <row r="11" spans="1:40" x14ac:dyDescent="0.3">
      <c r="A11" s="100"/>
      <c r="B11" s="107" t="s">
        <v>38</v>
      </c>
      <c r="C11" s="107"/>
      <c r="D11" s="104">
        <f t="shared" si="0"/>
        <v>0</v>
      </c>
      <c r="E11" s="127">
        <f t="shared" si="1"/>
        <v>0</v>
      </c>
      <c r="F11" s="130"/>
      <c r="G11" s="74"/>
      <c r="H11" s="130"/>
      <c r="I11" s="130"/>
      <c r="J11" s="74"/>
      <c r="K11" s="130"/>
      <c r="L11" s="130"/>
      <c r="M11" s="127">
        <f t="shared" si="2"/>
        <v>0</v>
      </c>
      <c r="N11" s="130"/>
      <c r="O11" s="130"/>
      <c r="P11" s="130"/>
      <c r="Q11" s="130"/>
      <c r="R11" s="130"/>
      <c r="S11" s="130"/>
      <c r="T11" s="130"/>
      <c r="U11" s="127">
        <f t="shared" si="3"/>
        <v>0</v>
      </c>
      <c r="V11" s="130"/>
      <c r="W11" s="130"/>
      <c r="X11" s="130"/>
      <c r="Y11" s="130"/>
      <c r="Z11" s="130"/>
      <c r="AA11" s="130"/>
      <c r="AB11" s="130"/>
      <c r="AC11" s="127">
        <f t="shared" si="4"/>
        <v>0</v>
      </c>
      <c r="AD11" s="130"/>
      <c r="AE11" s="130"/>
      <c r="AF11" s="130"/>
      <c r="AG11" s="130"/>
      <c r="AH11" s="130"/>
      <c r="AI11" s="130"/>
      <c r="AJ11" s="130"/>
      <c r="AK11" s="127">
        <f t="shared" si="5"/>
        <v>0</v>
      </c>
      <c r="AL11" s="130"/>
      <c r="AM11" s="130"/>
      <c r="AN11" s="130"/>
    </row>
    <row r="12" spans="1:40" x14ac:dyDescent="0.3">
      <c r="A12" s="100"/>
      <c r="B12" s="107" t="s">
        <v>116</v>
      </c>
      <c r="C12" s="107"/>
      <c r="D12" s="104">
        <f t="shared" si="0"/>
        <v>0</v>
      </c>
      <c r="E12" s="127">
        <f t="shared" si="1"/>
        <v>0</v>
      </c>
      <c r="F12" s="130"/>
      <c r="G12" s="74"/>
      <c r="H12" s="130"/>
      <c r="I12" s="130"/>
      <c r="J12" s="74"/>
      <c r="K12" s="130"/>
      <c r="L12" s="130"/>
      <c r="M12" s="127">
        <f t="shared" si="2"/>
        <v>0</v>
      </c>
      <c r="N12" s="130"/>
      <c r="O12" s="130"/>
      <c r="P12" s="130"/>
      <c r="Q12" s="130"/>
      <c r="R12" s="130"/>
      <c r="S12" s="130"/>
      <c r="T12" s="130"/>
      <c r="U12" s="127">
        <f t="shared" si="3"/>
        <v>0</v>
      </c>
      <c r="V12" s="130"/>
      <c r="W12" s="130"/>
      <c r="X12" s="130"/>
      <c r="Y12" s="130"/>
      <c r="Z12" s="130"/>
      <c r="AA12" s="130"/>
      <c r="AB12" s="130"/>
      <c r="AC12" s="127">
        <f t="shared" si="4"/>
        <v>0</v>
      </c>
      <c r="AD12" s="130"/>
      <c r="AE12" s="130"/>
      <c r="AF12" s="130"/>
      <c r="AG12" s="130"/>
      <c r="AH12" s="130"/>
      <c r="AI12" s="130"/>
      <c r="AJ12" s="130"/>
      <c r="AK12" s="127">
        <f t="shared" si="5"/>
        <v>0</v>
      </c>
      <c r="AL12" s="130"/>
      <c r="AM12" s="130"/>
      <c r="AN12" s="130"/>
    </row>
    <row r="13" spans="1:40" x14ac:dyDescent="0.3">
      <c r="A13" s="100"/>
      <c r="B13" s="107" t="s">
        <v>46</v>
      </c>
      <c r="C13" s="107"/>
      <c r="D13" s="104">
        <f t="shared" si="0"/>
        <v>0</v>
      </c>
      <c r="E13" s="127">
        <f t="shared" si="1"/>
        <v>0</v>
      </c>
      <c r="F13" s="130"/>
      <c r="G13" s="74"/>
      <c r="H13" s="130"/>
      <c r="I13" s="130"/>
      <c r="J13" s="74"/>
      <c r="K13" s="130"/>
      <c r="L13" s="130"/>
      <c r="M13" s="127">
        <f t="shared" si="2"/>
        <v>0</v>
      </c>
      <c r="N13" s="130"/>
      <c r="O13" s="130"/>
      <c r="P13" s="130"/>
      <c r="Q13" s="130"/>
      <c r="R13" s="130"/>
      <c r="S13" s="130"/>
      <c r="T13" s="130"/>
      <c r="U13" s="127">
        <f t="shared" si="3"/>
        <v>0</v>
      </c>
      <c r="V13" s="130"/>
      <c r="W13" s="130"/>
      <c r="X13" s="130"/>
      <c r="Y13" s="130"/>
      <c r="Z13" s="130"/>
      <c r="AA13" s="130"/>
      <c r="AB13" s="130"/>
      <c r="AC13" s="127">
        <f t="shared" si="4"/>
        <v>0</v>
      </c>
      <c r="AD13" s="130"/>
      <c r="AE13" s="130"/>
      <c r="AF13" s="130"/>
      <c r="AG13" s="130"/>
      <c r="AH13" s="130"/>
      <c r="AI13" s="130"/>
      <c r="AJ13" s="130"/>
      <c r="AK13" s="127">
        <f t="shared" si="5"/>
        <v>0</v>
      </c>
      <c r="AL13" s="130"/>
      <c r="AM13" s="130"/>
      <c r="AN13" s="130"/>
    </row>
    <row r="14" spans="1:40" x14ac:dyDescent="0.3">
      <c r="A14" s="100"/>
      <c r="B14" s="107" t="s">
        <v>3</v>
      </c>
      <c r="C14" s="107"/>
      <c r="D14" s="104">
        <f t="shared" si="0"/>
        <v>0</v>
      </c>
      <c r="E14" s="127">
        <f t="shared" si="1"/>
        <v>0</v>
      </c>
      <c r="F14" s="130"/>
      <c r="G14" s="74"/>
      <c r="H14" s="130"/>
      <c r="I14" s="130"/>
      <c r="J14" s="74"/>
      <c r="K14" s="130"/>
      <c r="L14" s="130"/>
      <c r="M14" s="127">
        <f t="shared" si="2"/>
        <v>0</v>
      </c>
      <c r="N14" s="130"/>
      <c r="O14" s="130"/>
      <c r="P14" s="130"/>
      <c r="Q14" s="130"/>
      <c r="R14" s="130"/>
      <c r="S14" s="130"/>
      <c r="T14" s="130"/>
      <c r="U14" s="127">
        <f t="shared" si="3"/>
        <v>0</v>
      </c>
      <c r="V14" s="130"/>
      <c r="W14" s="130"/>
      <c r="X14" s="130"/>
      <c r="Y14" s="130"/>
      <c r="Z14" s="130"/>
      <c r="AA14" s="130"/>
      <c r="AB14" s="130"/>
      <c r="AC14" s="127">
        <f t="shared" si="4"/>
        <v>0</v>
      </c>
      <c r="AD14" s="130"/>
      <c r="AE14" s="130"/>
      <c r="AF14" s="130"/>
      <c r="AG14" s="130"/>
      <c r="AH14" s="130"/>
      <c r="AI14" s="130"/>
      <c r="AJ14" s="130"/>
      <c r="AK14" s="127">
        <f t="shared" si="5"/>
        <v>0</v>
      </c>
      <c r="AL14" s="130"/>
      <c r="AM14" s="130"/>
      <c r="AN14" s="130"/>
    </row>
    <row r="15" spans="1:40" x14ac:dyDescent="0.3">
      <c r="A15" s="100"/>
      <c r="B15" s="107" t="s">
        <v>186</v>
      </c>
      <c r="C15" s="107"/>
      <c r="D15" s="104">
        <f t="shared" si="0"/>
        <v>0</v>
      </c>
      <c r="E15" s="127">
        <f t="shared" si="1"/>
        <v>0</v>
      </c>
      <c r="F15" s="130"/>
      <c r="G15" s="74"/>
      <c r="H15" s="130"/>
      <c r="I15" s="130"/>
      <c r="J15" s="74"/>
      <c r="K15" s="130"/>
      <c r="L15" s="130"/>
      <c r="M15" s="127">
        <f t="shared" si="2"/>
        <v>0</v>
      </c>
      <c r="N15" s="130"/>
      <c r="O15" s="130"/>
      <c r="P15" s="130"/>
      <c r="Q15" s="130"/>
      <c r="R15" s="130"/>
      <c r="S15" s="130"/>
      <c r="T15" s="130"/>
      <c r="U15" s="127">
        <f t="shared" si="3"/>
        <v>0</v>
      </c>
      <c r="V15" s="130"/>
      <c r="W15" s="130"/>
      <c r="X15" s="130"/>
      <c r="Y15" s="130"/>
      <c r="Z15" s="130"/>
      <c r="AA15" s="130"/>
      <c r="AB15" s="130"/>
      <c r="AC15" s="127">
        <f t="shared" si="4"/>
        <v>0</v>
      </c>
      <c r="AD15" s="130"/>
      <c r="AE15" s="130"/>
      <c r="AF15" s="130"/>
      <c r="AG15" s="130"/>
      <c r="AH15" s="130"/>
      <c r="AI15" s="130"/>
      <c r="AJ15" s="130"/>
      <c r="AK15" s="127">
        <f t="shared" si="5"/>
        <v>0</v>
      </c>
      <c r="AL15" s="130"/>
      <c r="AM15" s="130"/>
      <c r="AN15" s="130"/>
    </row>
    <row r="16" spans="1:40" x14ac:dyDescent="0.3">
      <c r="A16" s="100"/>
      <c r="B16" s="107" t="s">
        <v>118</v>
      </c>
      <c r="C16" s="107"/>
      <c r="D16" s="104">
        <f t="shared" si="0"/>
        <v>0</v>
      </c>
      <c r="E16" s="127">
        <f t="shared" si="1"/>
        <v>0</v>
      </c>
      <c r="F16" s="130"/>
      <c r="G16" s="74"/>
      <c r="H16" s="130"/>
      <c r="I16" s="130"/>
      <c r="J16" s="74"/>
      <c r="K16" s="130"/>
      <c r="L16" s="130"/>
      <c r="M16" s="127">
        <f t="shared" si="2"/>
        <v>0</v>
      </c>
      <c r="N16" s="130"/>
      <c r="O16" s="130"/>
      <c r="P16" s="130"/>
      <c r="Q16" s="130"/>
      <c r="R16" s="130"/>
      <c r="S16" s="130"/>
      <c r="T16" s="130"/>
      <c r="U16" s="127">
        <f t="shared" si="3"/>
        <v>0</v>
      </c>
      <c r="V16" s="130"/>
      <c r="W16" s="130"/>
      <c r="X16" s="130"/>
      <c r="Y16" s="130"/>
      <c r="Z16" s="130"/>
      <c r="AA16" s="130"/>
      <c r="AB16" s="130"/>
      <c r="AC16" s="127">
        <f t="shared" si="4"/>
        <v>0</v>
      </c>
      <c r="AD16" s="130"/>
      <c r="AE16" s="130"/>
      <c r="AF16" s="130"/>
      <c r="AG16" s="130"/>
      <c r="AH16" s="130"/>
      <c r="AI16" s="130"/>
      <c r="AJ16" s="130"/>
      <c r="AK16" s="127">
        <f t="shared" si="5"/>
        <v>0</v>
      </c>
      <c r="AL16" s="130"/>
      <c r="AM16" s="130"/>
      <c r="AN16" s="130"/>
    </row>
    <row r="17" spans="1:40" x14ac:dyDescent="0.3">
      <c r="A17" s="100"/>
      <c r="B17" s="107" t="s">
        <v>13</v>
      </c>
      <c r="C17" s="107"/>
      <c r="D17" s="104">
        <f t="shared" si="0"/>
        <v>0</v>
      </c>
      <c r="E17" s="127">
        <f t="shared" si="1"/>
        <v>0</v>
      </c>
      <c r="F17" s="130"/>
      <c r="G17" s="74"/>
      <c r="H17" s="130"/>
      <c r="I17" s="130"/>
      <c r="J17" s="74"/>
      <c r="K17" s="130"/>
      <c r="L17" s="130"/>
      <c r="M17" s="127">
        <f t="shared" si="2"/>
        <v>0</v>
      </c>
      <c r="N17" s="130"/>
      <c r="O17" s="130"/>
      <c r="P17" s="130"/>
      <c r="Q17" s="130"/>
      <c r="R17" s="130"/>
      <c r="S17" s="130"/>
      <c r="T17" s="130"/>
      <c r="U17" s="127">
        <f t="shared" si="3"/>
        <v>0</v>
      </c>
      <c r="V17" s="130"/>
      <c r="W17" s="130"/>
      <c r="X17" s="130"/>
      <c r="Y17" s="130"/>
      <c r="Z17" s="130"/>
      <c r="AA17" s="130"/>
      <c r="AB17" s="130"/>
      <c r="AC17" s="127">
        <f t="shared" si="4"/>
        <v>0</v>
      </c>
      <c r="AD17" s="130"/>
      <c r="AE17" s="130"/>
      <c r="AF17" s="130"/>
      <c r="AG17" s="130"/>
      <c r="AH17" s="130"/>
      <c r="AI17" s="130"/>
      <c r="AJ17" s="130"/>
      <c r="AK17" s="127">
        <f t="shared" si="5"/>
        <v>0</v>
      </c>
      <c r="AL17" s="130"/>
      <c r="AM17" s="130"/>
      <c r="AN17" s="130"/>
    </row>
    <row r="18" spans="1:40" x14ac:dyDescent="0.3">
      <c r="A18" s="100"/>
      <c r="B18" s="107" t="s">
        <v>26</v>
      </c>
      <c r="C18" s="107"/>
      <c r="D18" s="104">
        <f t="shared" si="0"/>
        <v>0</v>
      </c>
      <c r="E18" s="127">
        <f t="shared" si="1"/>
        <v>0</v>
      </c>
      <c r="F18" s="130"/>
      <c r="G18" s="74"/>
      <c r="H18" s="130"/>
      <c r="I18" s="130"/>
      <c r="J18" s="74"/>
      <c r="K18" s="130"/>
      <c r="L18" s="130"/>
      <c r="M18" s="127">
        <f t="shared" si="2"/>
        <v>0</v>
      </c>
      <c r="N18" s="74"/>
      <c r="O18" s="130"/>
      <c r="P18" s="130"/>
      <c r="Q18" s="130"/>
      <c r="R18" s="130"/>
      <c r="S18" s="130"/>
      <c r="T18" s="130"/>
      <c r="U18" s="127">
        <f t="shared" si="3"/>
        <v>0</v>
      </c>
      <c r="V18" s="130"/>
      <c r="W18" s="130"/>
      <c r="X18" s="130"/>
      <c r="Y18" s="130"/>
      <c r="Z18" s="130"/>
      <c r="AA18" s="130"/>
      <c r="AB18" s="130"/>
      <c r="AC18" s="127">
        <f t="shared" si="4"/>
        <v>0</v>
      </c>
      <c r="AD18" s="130"/>
      <c r="AE18" s="130"/>
      <c r="AF18" s="130"/>
      <c r="AG18" s="130"/>
      <c r="AH18" s="130"/>
      <c r="AI18" s="130"/>
      <c r="AJ18" s="130"/>
      <c r="AK18" s="127">
        <f t="shared" si="5"/>
        <v>0</v>
      </c>
      <c r="AL18" s="130"/>
      <c r="AM18" s="130"/>
      <c r="AN18" s="130"/>
    </row>
    <row r="19" spans="1:40" x14ac:dyDescent="0.3">
      <c r="A19" s="100"/>
      <c r="B19" s="103" t="s">
        <v>1</v>
      </c>
      <c r="C19" s="103"/>
      <c r="D19" s="104">
        <f t="shared" si="0"/>
        <v>98802</v>
      </c>
      <c r="E19" s="127">
        <f t="shared" si="1"/>
        <v>18376</v>
      </c>
      <c r="F19" s="74">
        <f>480+1630</f>
        <v>2110</v>
      </c>
      <c r="G19" s="74">
        <f>1910+1210</f>
        <v>3120</v>
      </c>
      <c r="H19" s="74">
        <f>1380+536</f>
        <v>1916</v>
      </c>
      <c r="I19" s="74">
        <f>1560+1700</f>
        <v>3260</v>
      </c>
      <c r="J19" s="74">
        <f>1280+1660</f>
        <v>2940</v>
      </c>
      <c r="K19" s="74">
        <f>1870+1210</f>
        <v>3080</v>
      </c>
      <c r="L19" s="74">
        <f>1380+570</f>
        <v>1950</v>
      </c>
      <c r="M19" s="127">
        <f t="shared" si="2"/>
        <v>23698</v>
      </c>
      <c r="N19" s="74">
        <f>1600+2200</f>
        <v>3800</v>
      </c>
      <c r="O19" s="74">
        <f>1500+1530</f>
        <v>3030</v>
      </c>
      <c r="P19" s="74">
        <f>2130+1210</f>
        <v>3340</v>
      </c>
      <c r="Q19" s="74">
        <f>1380+2608</f>
        <v>3988</v>
      </c>
      <c r="R19" s="74">
        <f>860+2050</f>
        <v>2910</v>
      </c>
      <c r="S19" s="74">
        <f>1350+1530</f>
        <v>2880</v>
      </c>
      <c r="T19" s="70">
        <f>2540+1210</f>
        <v>3750</v>
      </c>
      <c r="U19" s="127">
        <f t="shared" si="3"/>
        <v>24498</v>
      </c>
      <c r="V19" s="70">
        <f>1380+2010</f>
        <v>3390</v>
      </c>
      <c r="W19" s="130">
        <v>3260</v>
      </c>
      <c r="X19" s="130">
        <v>4120</v>
      </c>
      <c r="Y19" s="130">
        <v>5560</v>
      </c>
      <c r="Z19" s="130">
        <f>1350+2358</f>
        <v>3708</v>
      </c>
      <c r="AA19" s="130">
        <v>3360</v>
      </c>
      <c r="AB19" s="130">
        <v>1100</v>
      </c>
      <c r="AC19" s="127">
        <f t="shared" si="4"/>
        <v>22402</v>
      </c>
      <c r="AD19" s="130">
        <v>3790</v>
      </c>
      <c r="AE19" s="130">
        <f>2358+608</f>
        <v>2966</v>
      </c>
      <c r="AF19" s="130">
        <f>850+960</f>
        <v>1810</v>
      </c>
      <c r="AG19" s="130">
        <v>1480</v>
      </c>
      <c r="AH19" s="130">
        <v>3410</v>
      </c>
      <c r="AI19" s="130">
        <f>2358+608</f>
        <v>2966</v>
      </c>
      <c r="AJ19" s="130">
        <f>3680+2300</f>
        <v>5980</v>
      </c>
      <c r="AK19" s="127">
        <f t="shared" si="5"/>
        <v>9828</v>
      </c>
      <c r="AL19" s="130">
        <v>3150</v>
      </c>
      <c r="AM19" s="130">
        <f>1210+2620</f>
        <v>3830</v>
      </c>
      <c r="AN19" s="130">
        <f>2358+490</f>
        <v>2848</v>
      </c>
    </row>
    <row r="20" spans="1:40" x14ac:dyDescent="0.3">
      <c r="A20" s="100"/>
      <c r="B20" s="107" t="s">
        <v>187</v>
      </c>
      <c r="C20" s="107"/>
      <c r="D20" s="104">
        <f t="shared" si="0"/>
        <v>0</v>
      </c>
      <c r="E20" s="127">
        <f t="shared" si="1"/>
        <v>0</v>
      </c>
      <c r="F20" s="74"/>
      <c r="G20" s="74"/>
      <c r="H20" s="74"/>
      <c r="I20" s="74"/>
      <c r="J20" s="74"/>
      <c r="K20" s="74"/>
      <c r="L20" s="74"/>
      <c r="M20" s="127">
        <f t="shared" si="2"/>
        <v>0</v>
      </c>
      <c r="N20" s="74"/>
      <c r="O20" s="74"/>
      <c r="P20" s="74"/>
      <c r="Q20" s="74"/>
      <c r="R20" s="74"/>
      <c r="S20" s="74"/>
      <c r="T20" s="70"/>
      <c r="U20" s="127">
        <f t="shared" si="3"/>
        <v>0</v>
      </c>
      <c r="V20" s="70"/>
      <c r="W20" s="130"/>
      <c r="X20" s="130"/>
      <c r="Y20" s="130"/>
      <c r="Z20" s="130"/>
      <c r="AA20" s="130"/>
      <c r="AB20" s="130"/>
      <c r="AC20" s="127">
        <f t="shared" si="4"/>
        <v>0</v>
      </c>
      <c r="AD20" s="130"/>
      <c r="AE20" s="130"/>
      <c r="AF20" s="130"/>
      <c r="AG20" s="130"/>
      <c r="AH20" s="130"/>
      <c r="AI20" s="130"/>
      <c r="AJ20" s="130"/>
      <c r="AK20" s="127">
        <f t="shared" si="5"/>
        <v>0</v>
      </c>
      <c r="AL20" s="130"/>
      <c r="AM20" s="130"/>
      <c r="AN20" s="130"/>
    </row>
    <row r="21" spans="1:40" x14ac:dyDescent="0.3">
      <c r="A21" s="100"/>
      <c r="B21" s="108" t="s">
        <v>188</v>
      </c>
      <c r="C21" s="109"/>
      <c r="D21" s="104">
        <f t="shared" si="0"/>
        <v>3976</v>
      </c>
      <c r="E21" s="127">
        <f t="shared" si="1"/>
        <v>797</v>
      </c>
      <c r="F21" s="74">
        <f>15+55</f>
        <v>70</v>
      </c>
      <c r="G21" s="74">
        <v>160</v>
      </c>
      <c r="H21" s="74">
        <v>92</v>
      </c>
      <c r="I21" s="74">
        <v>126</v>
      </c>
      <c r="J21" s="74">
        <v>65</v>
      </c>
      <c r="K21" s="74">
        <v>170</v>
      </c>
      <c r="L21" s="74">
        <f>60+54</f>
        <v>114</v>
      </c>
      <c r="M21" s="127">
        <f t="shared" si="2"/>
        <v>877</v>
      </c>
      <c r="N21" s="74">
        <f>97+50</f>
        <v>147</v>
      </c>
      <c r="O21" s="74">
        <f>30+35</f>
        <v>65</v>
      </c>
      <c r="P21" s="74">
        <v>170</v>
      </c>
      <c r="Q21" s="74">
        <f>60+58</f>
        <v>118</v>
      </c>
      <c r="R21" s="74">
        <f>97+50</f>
        <v>147</v>
      </c>
      <c r="S21" s="74">
        <f>30+35</f>
        <v>65</v>
      </c>
      <c r="T21" s="70">
        <f>75+90</f>
        <v>165</v>
      </c>
      <c r="U21" s="127">
        <f t="shared" si="3"/>
        <v>714</v>
      </c>
      <c r="V21" s="70">
        <f>60+50</f>
        <v>110</v>
      </c>
      <c r="W21" s="130">
        <v>147</v>
      </c>
      <c r="X21" s="130">
        <v>65</v>
      </c>
      <c r="Y21" s="130">
        <v>85</v>
      </c>
      <c r="Z21" s="130">
        <v>60</v>
      </c>
      <c r="AA21" s="130">
        <v>217</v>
      </c>
      <c r="AB21" s="130">
        <v>30</v>
      </c>
      <c r="AC21" s="127">
        <f t="shared" si="4"/>
        <v>1288</v>
      </c>
      <c r="AD21" s="130">
        <v>185</v>
      </c>
      <c r="AE21" s="130">
        <v>118</v>
      </c>
      <c r="AF21" s="130">
        <v>167</v>
      </c>
      <c r="AG21" s="130">
        <v>30</v>
      </c>
      <c r="AH21" s="130">
        <v>135</v>
      </c>
      <c r="AI21" s="130">
        <v>118</v>
      </c>
      <c r="AJ21" s="130">
        <v>535</v>
      </c>
      <c r="AK21" s="127">
        <f t="shared" si="5"/>
        <v>300</v>
      </c>
      <c r="AL21" s="130">
        <v>35</v>
      </c>
      <c r="AM21" s="130">
        <v>155</v>
      </c>
      <c r="AN21" s="130">
        <v>110</v>
      </c>
    </row>
    <row r="22" spans="1:40" x14ac:dyDescent="0.3">
      <c r="A22" s="100"/>
      <c r="B22" s="103" t="s">
        <v>15</v>
      </c>
      <c r="C22" s="103"/>
      <c r="D22" s="104">
        <f t="shared" si="0"/>
        <v>10505</v>
      </c>
      <c r="E22" s="127">
        <f t="shared" si="1"/>
        <v>1984</v>
      </c>
      <c r="F22" s="74">
        <f>80+60</f>
        <v>140</v>
      </c>
      <c r="G22" s="74">
        <v>275</v>
      </c>
      <c r="H22" s="74">
        <f>155+159</f>
        <v>314</v>
      </c>
      <c r="I22" s="74">
        <f>169+240</f>
        <v>409</v>
      </c>
      <c r="J22" s="74">
        <v>240</v>
      </c>
      <c r="K22" s="74">
        <f>130+165</f>
        <v>295</v>
      </c>
      <c r="L22" s="74">
        <f>155+156</f>
        <v>311</v>
      </c>
      <c r="M22" s="127">
        <f t="shared" si="2"/>
        <v>2489</v>
      </c>
      <c r="N22" s="74">
        <f>180+320</f>
        <v>500</v>
      </c>
      <c r="O22" s="74">
        <v>230</v>
      </c>
      <c r="P22" s="74">
        <f>190+165</f>
        <v>355</v>
      </c>
      <c r="Q22" s="74">
        <f>155+98</f>
        <v>253</v>
      </c>
      <c r="R22" s="74">
        <f>156+300</f>
        <v>456</v>
      </c>
      <c r="S22" s="74">
        <f>180+50</f>
        <v>230</v>
      </c>
      <c r="T22" s="70">
        <f>300+165</f>
        <v>465</v>
      </c>
      <c r="U22" s="127">
        <f t="shared" si="3"/>
        <v>2376</v>
      </c>
      <c r="V22" s="70">
        <f>155+195</f>
        <v>350</v>
      </c>
      <c r="W22" s="130">
        <v>506</v>
      </c>
      <c r="X22" s="130">
        <v>235</v>
      </c>
      <c r="Y22" s="130">
        <v>330</v>
      </c>
      <c r="Z22" s="130">
        <f>155+175</f>
        <v>330</v>
      </c>
      <c r="AA22" s="130">
        <v>465</v>
      </c>
      <c r="AB22" s="130">
        <v>160</v>
      </c>
      <c r="AC22" s="127">
        <f t="shared" si="4"/>
        <v>2666</v>
      </c>
      <c r="AD22" s="129">
        <v>350</v>
      </c>
      <c r="AE22" s="129">
        <f>155+98</f>
        <v>253</v>
      </c>
      <c r="AF22" s="129">
        <v>115</v>
      </c>
      <c r="AG22" s="129">
        <v>250</v>
      </c>
      <c r="AH22" s="129">
        <v>465</v>
      </c>
      <c r="AI22" s="129">
        <v>253</v>
      </c>
      <c r="AJ22" s="129">
        <v>980</v>
      </c>
      <c r="AK22" s="127">
        <f t="shared" si="5"/>
        <v>990</v>
      </c>
      <c r="AL22" s="129">
        <v>305</v>
      </c>
      <c r="AM22" s="129">
        <v>455</v>
      </c>
      <c r="AN22" s="129">
        <v>230</v>
      </c>
    </row>
    <row r="23" spans="1:40" x14ac:dyDescent="0.3">
      <c r="A23" s="100"/>
      <c r="B23" s="103" t="s">
        <v>9</v>
      </c>
      <c r="C23" s="103"/>
      <c r="D23" s="104">
        <f t="shared" si="0"/>
        <v>4410</v>
      </c>
      <c r="E23" s="127">
        <f t="shared" si="1"/>
        <v>881</v>
      </c>
      <c r="F23" s="74">
        <f>40+50</f>
        <v>90</v>
      </c>
      <c r="G23" s="74">
        <v>170</v>
      </c>
      <c r="H23" s="74">
        <f>12+115</f>
        <v>127</v>
      </c>
      <c r="I23" s="74">
        <f>50+38</f>
        <v>88</v>
      </c>
      <c r="J23" s="74">
        <v>120</v>
      </c>
      <c r="K23" s="74">
        <v>170</v>
      </c>
      <c r="L23" s="74">
        <f>115+1</f>
        <v>116</v>
      </c>
      <c r="M23" s="127">
        <f t="shared" si="2"/>
        <v>1012</v>
      </c>
      <c r="N23" s="74">
        <f>28+80</f>
        <v>108</v>
      </c>
      <c r="O23" s="74">
        <v>120</v>
      </c>
      <c r="P23" s="74">
        <v>190</v>
      </c>
      <c r="Q23" s="74">
        <v>118</v>
      </c>
      <c r="R23" s="74">
        <v>86</v>
      </c>
      <c r="S23" s="74">
        <v>120</v>
      </c>
      <c r="T23" s="70">
        <v>270</v>
      </c>
      <c r="U23" s="127">
        <f t="shared" si="3"/>
        <v>970</v>
      </c>
      <c r="V23" s="70">
        <f>115+120</f>
        <v>235</v>
      </c>
      <c r="W23" s="129">
        <v>106</v>
      </c>
      <c r="X23" s="129">
        <v>95</v>
      </c>
      <c r="Y23" s="129">
        <v>160</v>
      </c>
      <c r="Z23" s="129">
        <v>220</v>
      </c>
      <c r="AA23" s="129">
        <v>104</v>
      </c>
      <c r="AB23" s="129">
        <v>50</v>
      </c>
      <c r="AC23" s="127">
        <f t="shared" si="4"/>
        <v>1076</v>
      </c>
      <c r="AD23" s="129">
        <v>215</v>
      </c>
      <c r="AE23" s="129">
        <v>118</v>
      </c>
      <c r="AF23" s="129">
        <v>104</v>
      </c>
      <c r="AG23" s="129">
        <v>85</v>
      </c>
      <c r="AH23" s="129">
        <v>170</v>
      </c>
      <c r="AI23" s="129">
        <v>118</v>
      </c>
      <c r="AJ23" s="129">
        <v>266</v>
      </c>
      <c r="AK23" s="127">
        <f t="shared" si="5"/>
        <v>471</v>
      </c>
      <c r="AL23" s="129">
        <v>140</v>
      </c>
      <c r="AM23" s="129">
        <v>215</v>
      </c>
      <c r="AN23" s="129">
        <v>116</v>
      </c>
    </row>
    <row r="24" spans="1:40" x14ac:dyDescent="0.3">
      <c r="A24" s="100"/>
      <c r="B24" s="100" t="s">
        <v>35</v>
      </c>
      <c r="C24" s="100"/>
      <c r="D24" s="104">
        <f t="shared" si="0"/>
        <v>0</v>
      </c>
      <c r="E24" s="127">
        <f t="shared" si="1"/>
        <v>0</v>
      </c>
      <c r="F24" s="129"/>
      <c r="G24" s="129"/>
      <c r="H24" s="129"/>
      <c r="I24" s="129"/>
      <c r="J24" s="129"/>
      <c r="K24" s="129"/>
      <c r="L24" s="129"/>
      <c r="M24" s="127">
        <f t="shared" si="2"/>
        <v>0</v>
      </c>
      <c r="N24" s="129"/>
      <c r="O24" s="74"/>
      <c r="P24" s="129"/>
      <c r="Q24" s="129"/>
      <c r="R24" s="129"/>
      <c r="S24" s="129"/>
      <c r="T24" s="129"/>
      <c r="U24" s="127">
        <f t="shared" si="3"/>
        <v>0</v>
      </c>
      <c r="V24" s="129"/>
      <c r="W24" s="129"/>
      <c r="X24" s="129"/>
      <c r="Y24" s="129"/>
      <c r="Z24" s="129"/>
      <c r="AA24" s="129"/>
      <c r="AB24" s="129"/>
      <c r="AC24" s="127">
        <f t="shared" si="4"/>
        <v>0</v>
      </c>
      <c r="AD24" s="129"/>
      <c r="AE24" s="129"/>
      <c r="AF24" s="129"/>
      <c r="AG24" s="129"/>
      <c r="AH24" s="129"/>
      <c r="AI24" s="129"/>
      <c r="AJ24" s="129"/>
      <c r="AK24" s="127">
        <f t="shared" si="5"/>
        <v>0</v>
      </c>
      <c r="AL24" s="129"/>
      <c r="AM24" s="129"/>
      <c r="AN24" s="129"/>
    </row>
    <row r="25" spans="1:40" x14ac:dyDescent="0.3">
      <c r="A25" s="97" t="s">
        <v>4</v>
      </c>
      <c r="B25" s="97"/>
      <c r="C25" s="97"/>
      <c r="D25" s="110">
        <f>SUM(D6:D24)</f>
        <v>257180</v>
      </c>
      <c r="E25" s="110">
        <f t="shared" ref="E25:AK25" si="6">SUM(E6:E24)</f>
        <v>44124</v>
      </c>
      <c r="F25" s="110">
        <f>SUM(F6:F24)</f>
        <v>5920</v>
      </c>
      <c r="G25" s="110">
        <f t="shared" ref="G25:L25" si="7">SUM(G6:G24)</f>
        <v>7435</v>
      </c>
      <c r="H25" s="110">
        <f t="shared" si="7"/>
        <v>4170</v>
      </c>
      <c r="I25" s="110">
        <f t="shared" si="7"/>
        <v>7556</v>
      </c>
      <c r="J25" s="110">
        <f t="shared" si="7"/>
        <v>7315</v>
      </c>
      <c r="K25" s="110">
        <f t="shared" si="7"/>
        <v>7515</v>
      </c>
      <c r="L25" s="110">
        <f t="shared" si="7"/>
        <v>4213</v>
      </c>
      <c r="M25" s="110">
        <f t="shared" si="6"/>
        <v>55523</v>
      </c>
      <c r="N25" s="110">
        <f>SUM(N6:N24)</f>
        <v>9300</v>
      </c>
      <c r="O25" s="110">
        <f t="shared" ref="O25:T25" si="8">SUM(O6:O24)</f>
        <v>7255</v>
      </c>
      <c r="P25" s="110">
        <f t="shared" si="8"/>
        <v>8105</v>
      </c>
      <c r="Q25" s="110">
        <f t="shared" si="8"/>
        <v>6337</v>
      </c>
      <c r="R25" s="110">
        <f t="shared" si="8"/>
        <v>8421</v>
      </c>
      <c r="S25" s="110">
        <f t="shared" si="8"/>
        <v>7105</v>
      </c>
      <c r="T25" s="110">
        <f t="shared" si="8"/>
        <v>9000</v>
      </c>
      <c r="U25" s="110">
        <f t="shared" si="6"/>
        <v>68505</v>
      </c>
      <c r="V25" s="110">
        <f>SUM(V6:V24)</f>
        <v>10825</v>
      </c>
      <c r="W25" s="110">
        <f t="shared" ref="W25:AB25" si="9">SUM(W6:W24)</f>
        <v>8764</v>
      </c>
      <c r="X25" s="110">
        <f t="shared" si="9"/>
        <v>10385</v>
      </c>
      <c r="Y25" s="110">
        <f t="shared" si="9"/>
        <v>13055</v>
      </c>
      <c r="Z25" s="110">
        <f t="shared" si="9"/>
        <v>10398</v>
      </c>
      <c r="AA25" s="110">
        <f t="shared" si="9"/>
        <v>10418</v>
      </c>
      <c r="AB25" s="110">
        <f t="shared" si="9"/>
        <v>4660</v>
      </c>
      <c r="AC25" s="110">
        <f t="shared" si="6"/>
        <v>60236</v>
      </c>
      <c r="AD25" s="110">
        <f>SUM(AD6:AD24)</f>
        <v>9980</v>
      </c>
      <c r="AE25" s="110">
        <f t="shared" ref="AE25:AJ25" si="10">SUM(AE6:AE24)</f>
        <v>7163</v>
      </c>
      <c r="AF25" s="110">
        <f t="shared" si="10"/>
        <v>6068</v>
      </c>
      <c r="AG25" s="110">
        <f t="shared" si="10"/>
        <v>5835</v>
      </c>
      <c r="AH25" s="110">
        <f t="shared" si="10"/>
        <v>9190</v>
      </c>
      <c r="AI25" s="110">
        <f t="shared" si="10"/>
        <v>7090</v>
      </c>
      <c r="AJ25" s="110">
        <f t="shared" si="10"/>
        <v>14910</v>
      </c>
      <c r="AK25" s="110">
        <f t="shared" si="6"/>
        <v>25792</v>
      </c>
      <c r="AL25" s="110">
        <f>SUM(AL6:AL24)</f>
        <v>8610</v>
      </c>
      <c r="AM25" s="110">
        <f t="shared" ref="AM25:AN25" si="11">SUM(AM6:AM24)</f>
        <v>10265</v>
      </c>
      <c r="AN25" s="110">
        <f t="shared" si="11"/>
        <v>6917</v>
      </c>
    </row>
    <row r="26" spans="1:40" x14ac:dyDescent="0.3">
      <c r="A26" s="100"/>
      <c r="B26" s="100" t="s">
        <v>6</v>
      </c>
      <c r="C26" s="56" t="s">
        <v>32</v>
      </c>
      <c r="D26" s="104">
        <f t="shared" ref="D26:D27" si="12">SUM(F26:AJ26)</f>
        <v>0</v>
      </c>
      <c r="E26" s="127">
        <f t="shared" ref="E26:E27" si="13">SUM(F26:L26)</f>
        <v>0</v>
      </c>
      <c r="F26" s="74"/>
      <c r="G26" s="74"/>
      <c r="H26" s="74"/>
      <c r="I26" s="74"/>
      <c r="J26" s="74"/>
      <c r="K26" s="74"/>
      <c r="L26" s="74"/>
      <c r="M26" s="127">
        <f t="shared" ref="M26:M27" si="14">SUM(N26:T26)</f>
        <v>0</v>
      </c>
      <c r="N26" s="74"/>
      <c r="O26" s="74"/>
      <c r="P26" s="74"/>
      <c r="Q26" s="74"/>
      <c r="R26" s="74"/>
      <c r="S26" s="74"/>
      <c r="T26" s="74"/>
      <c r="U26" s="127">
        <f t="shared" ref="U26:U27" si="15">SUM(V26:AB26)</f>
        <v>0</v>
      </c>
      <c r="V26" s="74"/>
      <c r="W26" s="70"/>
      <c r="X26" s="70"/>
      <c r="Y26" s="70"/>
      <c r="Z26" s="70"/>
      <c r="AA26" s="70"/>
      <c r="AB26" s="70"/>
      <c r="AC26" s="127">
        <f t="shared" ref="AC26:AC27" si="16">SUM(AD26:AJ26)</f>
        <v>0</v>
      </c>
      <c r="AD26" s="70"/>
      <c r="AE26" s="70"/>
      <c r="AF26" s="70"/>
      <c r="AG26" s="70"/>
      <c r="AH26" s="70"/>
      <c r="AI26" s="70"/>
      <c r="AJ26" s="70"/>
      <c r="AK26" s="127">
        <f t="shared" ref="AK26:AK27" si="17">SUM(AL26:AR26)</f>
        <v>0</v>
      </c>
      <c r="AL26" s="70"/>
      <c r="AM26" s="70"/>
      <c r="AN26" s="70"/>
    </row>
    <row r="27" spans="1:40" x14ac:dyDescent="0.3">
      <c r="A27" s="100"/>
      <c r="B27" s="100"/>
      <c r="C27" s="56" t="s">
        <v>121</v>
      </c>
      <c r="D27" s="104">
        <f t="shared" si="12"/>
        <v>127489</v>
      </c>
      <c r="E27" s="127">
        <f t="shared" si="13"/>
        <v>13047</v>
      </c>
      <c r="F27" s="74">
        <f>1030+1230</f>
        <v>2260</v>
      </c>
      <c r="G27" s="74">
        <f>1230+440</f>
        <v>1670</v>
      </c>
      <c r="H27" s="74">
        <f>1138+201</f>
        <v>1339</v>
      </c>
      <c r="I27" s="74">
        <f>1010+1150</f>
        <v>2160</v>
      </c>
      <c r="J27" s="74">
        <f>1530+1100</f>
        <v>2630</v>
      </c>
      <c r="K27" s="74">
        <f>1260+440</f>
        <v>1700</v>
      </c>
      <c r="L27" s="74">
        <f>1138+150</f>
        <v>1288</v>
      </c>
      <c r="M27" s="127">
        <f t="shared" si="14"/>
        <v>16568</v>
      </c>
      <c r="N27" s="74">
        <f>1150+1850</f>
        <v>3000</v>
      </c>
      <c r="O27" s="74">
        <f>1530+1030</f>
        <v>2560</v>
      </c>
      <c r="P27" s="74">
        <f>1490+440</f>
        <v>1930</v>
      </c>
      <c r="Q27" s="74">
        <f>1138+240</f>
        <v>1378</v>
      </c>
      <c r="R27" s="74">
        <f>1150+1850</f>
        <v>3000</v>
      </c>
      <c r="S27" s="74">
        <f>1480+1030</f>
        <v>2510</v>
      </c>
      <c r="T27" s="70">
        <f>1750+440</f>
        <v>2190</v>
      </c>
      <c r="U27" s="127">
        <f t="shared" si="15"/>
        <v>19883</v>
      </c>
      <c r="V27" s="70">
        <f>1138+1300</f>
        <v>2438</v>
      </c>
      <c r="W27" s="70">
        <v>3350</v>
      </c>
      <c r="X27" s="70">
        <v>2030</v>
      </c>
      <c r="Y27" s="70">
        <v>2340</v>
      </c>
      <c r="Z27" s="70">
        <v>3125</v>
      </c>
      <c r="AA27" s="70">
        <v>3750</v>
      </c>
      <c r="AB27" s="70">
        <v>2850</v>
      </c>
      <c r="AC27" s="127">
        <f t="shared" si="16"/>
        <v>20770</v>
      </c>
      <c r="AD27" s="70">
        <v>3200</v>
      </c>
      <c r="AE27" s="70">
        <v>2255</v>
      </c>
      <c r="AF27" s="70">
        <v>3150</v>
      </c>
      <c r="AG27" s="70">
        <v>2410</v>
      </c>
      <c r="AH27" s="70">
        <v>2850</v>
      </c>
      <c r="AI27" s="70">
        <v>2255</v>
      </c>
      <c r="AJ27" s="70">
        <v>4650</v>
      </c>
      <c r="AK27" s="127">
        <f t="shared" si="17"/>
        <v>7895</v>
      </c>
      <c r="AL27" s="70">
        <v>3110</v>
      </c>
      <c r="AM27" s="70">
        <v>2620</v>
      </c>
      <c r="AN27" s="70">
        <v>2165</v>
      </c>
    </row>
    <row r="28" spans="1:40" x14ac:dyDescent="0.3">
      <c r="A28" s="97" t="s">
        <v>4</v>
      </c>
      <c r="B28" s="97"/>
      <c r="C28" s="97"/>
      <c r="D28" s="104">
        <f>SUM(D26:D27)</f>
        <v>127489</v>
      </c>
      <c r="E28" s="110">
        <f t="shared" ref="E28:AN28" si="18">SUM(E26:E27)</f>
        <v>13047</v>
      </c>
      <c r="F28" s="131">
        <f t="shared" si="18"/>
        <v>2260</v>
      </c>
      <c r="G28" s="131">
        <f t="shared" si="18"/>
        <v>1670</v>
      </c>
      <c r="H28" s="131">
        <f t="shared" si="18"/>
        <v>1339</v>
      </c>
      <c r="I28" s="131">
        <f t="shared" si="18"/>
        <v>2160</v>
      </c>
      <c r="J28" s="131">
        <f t="shared" si="18"/>
        <v>2630</v>
      </c>
      <c r="K28" s="131">
        <f t="shared" si="18"/>
        <v>1700</v>
      </c>
      <c r="L28" s="131">
        <f t="shared" si="18"/>
        <v>1288</v>
      </c>
      <c r="M28" s="110">
        <f t="shared" si="18"/>
        <v>16568</v>
      </c>
      <c r="N28" s="131">
        <f t="shared" si="18"/>
        <v>3000</v>
      </c>
      <c r="O28" s="131">
        <f t="shared" si="18"/>
        <v>2560</v>
      </c>
      <c r="P28" s="131">
        <f t="shared" si="18"/>
        <v>1930</v>
      </c>
      <c r="Q28" s="131">
        <f t="shared" si="18"/>
        <v>1378</v>
      </c>
      <c r="R28" s="131">
        <f t="shared" si="18"/>
        <v>3000</v>
      </c>
      <c r="S28" s="131">
        <f t="shared" si="18"/>
        <v>2510</v>
      </c>
      <c r="T28" s="131">
        <f t="shared" si="18"/>
        <v>2190</v>
      </c>
      <c r="U28" s="110">
        <f t="shared" si="18"/>
        <v>19883</v>
      </c>
      <c r="V28" s="131">
        <f t="shared" si="18"/>
        <v>2438</v>
      </c>
      <c r="W28" s="131">
        <f t="shared" si="18"/>
        <v>3350</v>
      </c>
      <c r="X28" s="131">
        <f t="shared" si="18"/>
        <v>2030</v>
      </c>
      <c r="Y28" s="131">
        <f t="shared" si="18"/>
        <v>2340</v>
      </c>
      <c r="Z28" s="131">
        <f t="shared" si="18"/>
        <v>3125</v>
      </c>
      <c r="AA28" s="131">
        <f t="shared" si="18"/>
        <v>3750</v>
      </c>
      <c r="AB28" s="131">
        <f t="shared" si="18"/>
        <v>2850</v>
      </c>
      <c r="AC28" s="110">
        <f t="shared" si="18"/>
        <v>20770</v>
      </c>
      <c r="AD28" s="131">
        <f t="shared" si="18"/>
        <v>3200</v>
      </c>
      <c r="AE28" s="131">
        <f t="shared" si="18"/>
        <v>2255</v>
      </c>
      <c r="AF28" s="131">
        <f t="shared" si="18"/>
        <v>3150</v>
      </c>
      <c r="AG28" s="131">
        <f t="shared" si="18"/>
        <v>2410</v>
      </c>
      <c r="AH28" s="131">
        <f t="shared" si="18"/>
        <v>2850</v>
      </c>
      <c r="AI28" s="131">
        <f t="shared" si="18"/>
        <v>2255</v>
      </c>
      <c r="AJ28" s="131">
        <f t="shared" si="18"/>
        <v>4650</v>
      </c>
      <c r="AK28" s="110">
        <f t="shared" si="18"/>
        <v>7895</v>
      </c>
      <c r="AL28" s="131">
        <f t="shared" si="18"/>
        <v>3110</v>
      </c>
      <c r="AM28" s="131">
        <f t="shared" si="18"/>
        <v>2620</v>
      </c>
      <c r="AN28" s="131">
        <f t="shared" si="18"/>
        <v>2165</v>
      </c>
    </row>
    <row r="29" spans="1:40" x14ac:dyDescent="0.3">
      <c r="A29" s="113" t="s">
        <v>87</v>
      </c>
      <c r="B29" s="113"/>
      <c r="C29" s="113"/>
      <c r="D29" s="114">
        <f>SUM(D28,D25)</f>
        <v>384669</v>
      </c>
      <c r="E29" s="132">
        <f t="shared" ref="E29:AN29" si="19">SUM(E25,E28)</f>
        <v>57171</v>
      </c>
      <c r="F29" s="132">
        <f t="shared" si="19"/>
        <v>8180</v>
      </c>
      <c r="G29" s="134">
        <f t="shared" si="19"/>
        <v>9105</v>
      </c>
      <c r="H29" s="134">
        <f t="shared" si="19"/>
        <v>5509</v>
      </c>
      <c r="I29" s="134">
        <f t="shared" si="19"/>
        <v>9716</v>
      </c>
      <c r="J29" s="134">
        <f t="shared" si="19"/>
        <v>9945</v>
      </c>
      <c r="K29" s="134">
        <f t="shared" si="19"/>
        <v>9215</v>
      </c>
      <c r="L29" s="134">
        <f t="shared" si="19"/>
        <v>5501</v>
      </c>
      <c r="M29" s="132">
        <f t="shared" si="19"/>
        <v>72091</v>
      </c>
      <c r="N29" s="134">
        <f t="shared" si="19"/>
        <v>12300</v>
      </c>
      <c r="O29" s="134">
        <f t="shared" si="19"/>
        <v>9815</v>
      </c>
      <c r="P29" s="134">
        <f t="shared" si="19"/>
        <v>10035</v>
      </c>
      <c r="Q29" s="134">
        <f t="shared" si="19"/>
        <v>7715</v>
      </c>
      <c r="R29" s="134">
        <f t="shared" si="19"/>
        <v>11421</v>
      </c>
      <c r="S29" s="134">
        <f t="shared" si="19"/>
        <v>9615</v>
      </c>
      <c r="T29" s="134">
        <f t="shared" si="19"/>
        <v>11190</v>
      </c>
      <c r="U29" s="132">
        <f t="shared" si="19"/>
        <v>88388</v>
      </c>
      <c r="V29" s="134">
        <f t="shared" si="19"/>
        <v>13263</v>
      </c>
      <c r="W29" s="134">
        <f t="shared" si="19"/>
        <v>12114</v>
      </c>
      <c r="X29" s="134">
        <f t="shared" si="19"/>
        <v>12415</v>
      </c>
      <c r="Y29" s="134">
        <f t="shared" si="19"/>
        <v>15395</v>
      </c>
      <c r="Z29" s="134">
        <f t="shared" si="19"/>
        <v>13523</v>
      </c>
      <c r="AA29" s="134">
        <f t="shared" si="19"/>
        <v>14168</v>
      </c>
      <c r="AB29" s="134">
        <f t="shared" si="19"/>
        <v>7510</v>
      </c>
      <c r="AC29" s="132">
        <f t="shared" si="19"/>
        <v>81006</v>
      </c>
      <c r="AD29" s="134">
        <f t="shared" si="19"/>
        <v>13180</v>
      </c>
      <c r="AE29" s="134">
        <f t="shared" si="19"/>
        <v>9418</v>
      </c>
      <c r="AF29" s="134">
        <f t="shared" si="19"/>
        <v>9218</v>
      </c>
      <c r="AG29" s="134">
        <f t="shared" si="19"/>
        <v>8245</v>
      </c>
      <c r="AH29" s="134">
        <f t="shared" si="19"/>
        <v>12040</v>
      </c>
      <c r="AI29" s="134">
        <f t="shared" si="19"/>
        <v>9345</v>
      </c>
      <c r="AJ29" s="134">
        <f t="shared" si="19"/>
        <v>19560</v>
      </c>
      <c r="AK29" s="132">
        <f t="shared" si="19"/>
        <v>33687</v>
      </c>
      <c r="AL29" s="134">
        <f t="shared" si="19"/>
        <v>11720</v>
      </c>
      <c r="AM29" s="134">
        <f t="shared" si="19"/>
        <v>12885</v>
      </c>
      <c r="AN29" s="134">
        <f t="shared" si="19"/>
        <v>9082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8" zoomScaleNormal="78" workbookViewId="0">
      <selection activeCell="G36" sqref="G36"/>
    </sheetView>
  </sheetViews>
  <sheetFormatPr defaultRowHeight="16.5" x14ac:dyDescent="0.3"/>
  <cols>
    <col min="1" max="1" width="20.25" style="44" customWidth="1"/>
    <col min="2" max="2" width="7.375" style="44" customWidth="1"/>
    <col min="3" max="3" width="20.25" style="44" customWidth="1"/>
    <col min="4" max="4" width="10.25" style="44" bestFit="1" customWidth="1"/>
    <col min="5" max="16384" width="9" style="44"/>
  </cols>
  <sheetData>
    <row r="1" spans="1:40" ht="26.25" x14ac:dyDescent="0.3">
      <c r="A1" s="94" t="s">
        <v>189</v>
      </c>
      <c r="B1" s="94"/>
      <c r="C1" s="94"/>
      <c r="D1" s="94"/>
      <c r="I1" s="95"/>
      <c r="J1" s="95"/>
      <c r="K1" s="95"/>
      <c r="L1" s="95"/>
      <c r="M1" s="95"/>
      <c r="N1" s="95"/>
      <c r="O1" s="95"/>
      <c r="V1" s="135"/>
    </row>
    <row r="2" spans="1:40" ht="26.25" x14ac:dyDescent="0.3">
      <c r="A2" s="47"/>
      <c r="B2" s="48"/>
      <c r="C2" s="48"/>
      <c r="D2" s="96"/>
      <c r="F2" s="48"/>
      <c r="G2" s="48"/>
      <c r="H2" s="48"/>
      <c r="I2" s="49"/>
      <c r="J2" s="49"/>
      <c r="K2" s="49"/>
      <c r="L2" s="49"/>
      <c r="M2" s="49"/>
      <c r="N2" s="49"/>
      <c r="O2" s="49"/>
      <c r="P2" s="48"/>
      <c r="Q2" s="48"/>
      <c r="R2" s="48"/>
      <c r="S2" s="48"/>
      <c r="T2" s="48"/>
      <c r="V2" s="48"/>
    </row>
    <row r="3" spans="1:40" x14ac:dyDescent="0.3">
      <c r="A3" s="97" t="s">
        <v>19</v>
      </c>
      <c r="B3" s="97"/>
      <c r="C3" s="97"/>
      <c r="D3" s="98" t="s">
        <v>5</v>
      </c>
      <c r="E3" s="125" t="s">
        <v>190</v>
      </c>
      <c r="F3" s="99">
        <v>1</v>
      </c>
      <c r="G3" s="99">
        <v>2</v>
      </c>
      <c r="H3" s="99">
        <v>3</v>
      </c>
      <c r="I3" s="99">
        <v>4</v>
      </c>
      <c r="J3" s="99">
        <v>5</v>
      </c>
      <c r="K3" s="99">
        <v>6</v>
      </c>
      <c r="L3" s="99">
        <v>7</v>
      </c>
      <c r="M3" s="125" t="s">
        <v>190</v>
      </c>
      <c r="N3" s="99">
        <v>8</v>
      </c>
      <c r="O3" s="99">
        <v>9</v>
      </c>
      <c r="P3" s="99">
        <v>10</v>
      </c>
      <c r="Q3" s="99">
        <v>11</v>
      </c>
      <c r="R3" s="99">
        <v>12</v>
      </c>
      <c r="S3" s="99">
        <v>13</v>
      </c>
      <c r="T3" s="99">
        <v>14</v>
      </c>
      <c r="U3" s="125" t="s">
        <v>190</v>
      </c>
      <c r="V3" s="99">
        <v>15</v>
      </c>
      <c r="W3" s="99">
        <v>16</v>
      </c>
      <c r="X3" s="99">
        <v>17</v>
      </c>
      <c r="Y3" s="99">
        <v>18</v>
      </c>
      <c r="Z3" s="99">
        <v>19</v>
      </c>
      <c r="AA3" s="99">
        <v>20</v>
      </c>
      <c r="AB3" s="99">
        <v>21</v>
      </c>
      <c r="AC3" s="125" t="s">
        <v>190</v>
      </c>
      <c r="AD3" s="99">
        <v>22</v>
      </c>
      <c r="AE3" s="99">
        <v>23</v>
      </c>
      <c r="AF3" s="99">
        <v>24</v>
      </c>
      <c r="AG3" s="99">
        <v>25</v>
      </c>
      <c r="AH3" s="99">
        <v>26</v>
      </c>
      <c r="AI3" s="99">
        <v>27</v>
      </c>
      <c r="AJ3" s="99">
        <v>28</v>
      </c>
      <c r="AK3" s="125" t="s">
        <v>190</v>
      </c>
      <c r="AL3" s="99">
        <v>29</v>
      </c>
      <c r="AM3" s="99">
        <v>30</v>
      </c>
      <c r="AN3" s="99">
        <v>31</v>
      </c>
    </row>
    <row r="4" spans="1:40" x14ac:dyDescent="0.3">
      <c r="A4" s="97" t="s">
        <v>18</v>
      </c>
      <c r="B4" s="97"/>
      <c r="C4" s="97"/>
      <c r="D4" s="98"/>
      <c r="E4" s="125"/>
      <c r="F4" s="56" t="s">
        <v>191</v>
      </c>
      <c r="G4" s="56" t="s">
        <v>58</v>
      </c>
      <c r="H4" s="56" t="s">
        <v>59</v>
      </c>
      <c r="I4" s="56" t="s">
        <v>60</v>
      </c>
      <c r="J4" s="56" t="s">
        <v>54</v>
      </c>
      <c r="K4" s="56" t="s">
        <v>55</v>
      </c>
      <c r="L4" s="56" t="s">
        <v>56</v>
      </c>
      <c r="M4" s="125"/>
      <c r="N4" s="56" t="s">
        <v>191</v>
      </c>
      <c r="O4" s="56" t="s">
        <v>58</v>
      </c>
      <c r="P4" s="56" t="s">
        <v>59</v>
      </c>
      <c r="Q4" s="56" t="s">
        <v>60</v>
      </c>
      <c r="R4" s="56" t="s">
        <v>54</v>
      </c>
      <c r="S4" s="56" t="s">
        <v>55</v>
      </c>
      <c r="T4" s="56" t="s">
        <v>56</v>
      </c>
      <c r="U4" s="125"/>
      <c r="V4" s="56" t="s">
        <v>191</v>
      </c>
      <c r="W4" s="56" t="s">
        <v>58</v>
      </c>
      <c r="X4" s="56" t="s">
        <v>59</v>
      </c>
      <c r="Y4" s="56" t="s">
        <v>60</v>
      </c>
      <c r="Z4" s="56" t="s">
        <v>54</v>
      </c>
      <c r="AA4" s="56" t="s">
        <v>55</v>
      </c>
      <c r="AB4" s="56" t="s">
        <v>56</v>
      </c>
      <c r="AC4" s="125"/>
      <c r="AD4" s="56" t="s">
        <v>191</v>
      </c>
      <c r="AE4" s="56" t="s">
        <v>58</v>
      </c>
      <c r="AF4" s="56" t="s">
        <v>59</v>
      </c>
      <c r="AG4" s="56" t="s">
        <v>60</v>
      </c>
      <c r="AH4" s="56" t="s">
        <v>54</v>
      </c>
      <c r="AI4" s="56" t="s">
        <v>55</v>
      </c>
      <c r="AJ4" s="56" t="s">
        <v>56</v>
      </c>
      <c r="AK4" s="125"/>
      <c r="AL4" s="56" t="s">
        <v>191</v>
      </c>
      <c r="AM4" s="56" t="s">
        <v>58</v>
      </c>
      <c r="AN4" s="56" t="s">
        <v>59</v>
      </c>
    </row>
    <row r="5" spans="1:40" x14ac:dyDescent="0.3">
      <c r="A5" s="100" t="s">
        <v>31</v>
      </c>
      <c r="B5" s="100" t="s">
        <v>30</v>
      </c>
      <c r="C5" s="100"/>
      <c r="D5" s="101"/>
      <c r="E5" s="126"/>
      <c r="F5" s="102" t="s">
        <v>192</v>
      </c>
      <c r="G5" s="61" t="s">
        <v>193</v>
      </c>
      <c r="H5" s="61" t="s">
        <v>111</v>
      </c>
      <c r="I5" s="61" t="s">
        <v>194</v>
      </c>
      <c r="J5" s="61" t="s">
        <v>194</v>
      </c>
      <c r="K5" s="61" t="s">
        <v>195</v>
      </c>
      <c r="L5" s="61" t="s">
        <v>195</v>
      </c>
      <c r="M5" s="126"/>
      <c r="N5" s="61" t="s">
        <v>111</v>
      </c>
      <c r="O5" s="61" t="s">
        <v>194</v>
      </c>
      <c r="P5" s="61" t="s">
        <v>111</v>
      </c>
      <c r="Q5" s="61" t="s">
        <v>194</v>
      </c>
      <c r="R5" s="61" t="s">
        <v>194</v>
      </c>
      <c r="S5" s="61" t="s">
        <v>194</v>
      </c>
      <c r="T5" s="61" t="s">
        <v>194</v>
      </c>
      <c r="U5" s="126"/>
      <c r="V5" s="61" t="s">
        <v>194</v>
      </c>
      <c r="W5" s="136" t="s">
        <v>194</v>
      </c>
      <c r="X5" s="136" t="s">
        <v>194</v>
      </c>
      <c r="Y5" s="136" t="s">
        <v>194</v>
      </c>
      <c r="Z5" s="136" t="s">
        <v>194</v>
      </c>
      <c r="AA5" s="136" t="s">
        <v>194</v>
      </c>
      <c r="AB5" s="136" t="s">
        <v>192</v>
      </c>
      <c r="AC5" s="126"/>
      <c r="AD5" s="136" t="s">
        <v>194</v>
      </c>
      <c r="AE5" s="136" t="s">
        <v>194</v>
      </c>
      <c r="AF5" s="136" t="s">
        <v>194</v>
      </c>
      <c r="AG5" s="136" t="s">
        <v>194</v>
      </c>
      <c r="AH5" s="136" t="s">
        <v>196</v>
      </c>
      <c r="AI5" s="136" t="s">
        <v>197</v>
      </c>
      <c r="AJ5" s="136" t="s">
        <v>197</v>
      </c>
      <c r="AK5" s="137"/>
      <c r="AL5" s="136" t="s">
        <v>150</v>
      </c>
      <c r="AM5" s="136" t="s">
        <v>193</v>
      </c>
      <c r="AN5" s="102"/>
    </row>
    <row r="6" spans="1:40" x14ac:dyDescent="0.3">
      <c r="A6" s="100"/>
      <c r="B6" s="103" t="s">
        <v>21</v>
      </c>
      <c r="C6" s="103"/>
      <c r="D6" s="104">
        <f>SUM(F6:L6,N6:T6,V6:AB6,AD6:AJ6,AL6:AM6)</f>
        <v>3640</v>
      </c>
      <c r="E6" s="127">
        <f t="shared" ref="E6:E24" si="0">SUM(F6:L6)</f>
        <v>1340</v>
      </c>
      <c r="F6" s="74">
        <v>180</v>
      </c>
      <c r="G6" s="74">
        <v>100</v>
      </c>
      <c r="H6" s="74">
        <v>450</v>
      </c>
      <c r="I6" s="74">
        <v>80</v>
      </c>
      <c r="J6" s="74">
        <v>180</v>
      </c>
      <c r="K6" s="74">
        <v>100</v>
      </c>
      <c r="L6" s="74">
        <v>250</v>
      </c>
      <c r="M6" s="127">
        <f t="shared" ref="M6:M24" si="1">SUM(N6:T6)</f>
        <v>600</v>
      </c>
      <c r="N6" s="74">
        <v>80</v>
      </c>
      <c r="O6" s="74">
        <v>180</v>
      </c>
      <c r="P6" s="74">
        <v>80</v>
      </c>
      <c r="Q6" s="128">
        <v>0</v>
      </c>
      <c r="R6" s="74">
        <v>80</v>
      </c>
      <c r="S6" s="74">
        <v>100</v>
      </c>
      <c r="T6" s="70">
        <v>80</v>
      </c>
      <c r="U6" s="127">
        <f t="shared" ref="U6:U24" si="2">SUM(V6:AB6)</f>
        <v>900</v>
      </c>
      <c r="V6" s="138">
        <v>170</v>
      </c>
      <c r="W6" s="139">
        <v>80</v>
      </c>
      <c r="X6" s="139">
        <v>100</v>
      </c>
      <c r="Y6" s="139">
        <v>100</v>
      </c>
      <c r="Z6" s="139">
        <v>340</v>
      </c>
      <c r="AA6" s="139">
        <v>0</v>
      </c>
      <c r="AB6" s="139">
        <v>110</v>
      </c>
      <c r="AC6" s="127">
        <f t="shared" ref="AC6:AC24" si="3">SUM(AD6:AJ6)</f>
        <v>600</v>
      </c>
      <c r="AD6" s="139">
        <v>80</v>
      </c>
      <c r="AE6" s="139">
        <v>180</v>
      </c>
      <c r="AF6" s="139">
        <v>0</v>
      </c>
      <c r="AG6" s="139">
        <v>150</v>
      </c>
      <c r="AH6" s="139">
        <v>60</v>
      </c>
      <c r="AI6" s="139">
        <v>130</v>
      </c>
      <c r="AJ6" s="139">
        <v>0</v>
      </c>
      <c r="AK6" s="127">
        <f t="shared" ref="AK6:AK24" si="4">SUM(AL6:AN6)</f>
        <v>200</v>
      </c>
      <c r="AL6" s="139">
        <v>120</v>
      </c>
      <c r="AM6" s="139">
        <v>80</v>
      </c>
      <c r="AN6" s="129"/>
    </row>
    <row r="7" spans="1:40" x14ac:dyDescent="0.3">
      <c r="A7" s="100"/>
      <c r="B7" s="103" t="s">
        <v>22</v>
      </c>
      <c r="C7" s="103"/>
      <c r="D7" s="104">
        <f t="shared" ref="D7:D24" si="5">SUM(F7:L7,N7:T7,V7:AB7,AD7:AJ7,AL7:AM7)</f>
        <v>73020</v>
      </c>
      <c r="E7" s="127">
        <f t="shared" si="0"/>
        <v>18350</v>
      </c>
      <c r="F7" s="74">
        <v>2300</v>
      </c>
      <c r="G7" s="74">
        <f>1860</f>
        <v>1860</v>
      </c>
      <c r="H7" s="74">
        <f>1400+1850</f>
        <v>3250</v>
      </c>
      <c r="I7" s="74">
        <f>1650+2350</f>
        <v>4000</v>
      </c>
      <c r="J7" s="74">
        <f>3400</f>
        <v>3400</v>
      </c>
      <c r="K7" s="74">
        <v>2270</v>
      </c>
      <c r="L7" s="74">
        <v>1270</v>
      </c>
      <c r="M7" s="127">
        <f t="shared" si="1"/>
        <v>12020</v>
      </c>
      <c r="N7" s="74">
        <f>800+1120</f>
        <v>1920</v>
      </c>
      <c r="O7" s="74">
        <v>2000</v>
      </c>
      <c r="P7" s="74">
        <v>2180</v>
      </c>
      <c r="Q7" s="74">
        <v>1270</v>
      </c>
      <c r="R7" s="74">
        <v>1190</v>
      </c>
      <c r="S7" s="74">
        <v>1500</v>
      </c>
      <c r="T7" s="70">
        <v>1960</v>
      </c>
      <c r="U7" s="127">
        <f t="shared" si="2"/>
        <v>17690</v>
      </c>
      <c r="V7" s="138">
        <v>920</v>
      </c>
      <c r="W7" s="139">
        <v>2900</v>
      </c>
      <c r="X7" s="139">
        <v>2600</v>
      </c>
      <c r="Y7" s="139">
        <v>2080</v>
      </c>
      <c r="Z7" s="139">
        <v>3270</v>
      </c>
      <c r="AA7" s="139">
        <v>1920</v>
      </c>
      <c r="AB7" s="139">
        <v>4000</v>
      </c>
      <c r="AC7" s="127">
        <f t="shared" si="3"/>
        <v>19540</v>
      </c>
      <c r="AD7" s="139">
        <v>4060</v>
      </c>
      <c r="AE7" s="139">
        <v>1680</v>
      </c>
      <c r="AF7" s="139">
        <v>2600</v>
      </c>
      <c r="AG7" s="139">
        <v>3600</v>
      </c>
      <c r="AH7" s="139">
        <v>4020</v>
      </c>
      <c r="AI7" s="139">
        <v>1680</v>
      </c>
      <c r="AJ7" s="139">
        <v>1900</v>
      </c>
      <c r="AK7" s="127">
        <f t="shared" si="4"/>
        <v>5420</v>
      </c>
      <c r="AL7" s="139">
        <v>2160</v>
      </c>
      <c r="AM7" s="139">
        <v>3260</v>
      </c>
      <c r="AN7" s="129"/>
    </row>
    <row r="8" spans="1:40" x14ac:dyDescent="0.3">
      <c r="A8" s="100"/>
      <c r="B8" s="103" t="s">
        <v>24</v>
      </c>
      <c r="C8" s="103"/>
      <c r="D8" s="104">
        <f t="shared" si="5"/>
        <v>83970</v>
      </c>
      <c r="E8" s="127">
        <f t="shared" si="0"/>
        <v>18530</v>
      </c>
      <c r="F8" s="74">
        <v>3740</v>
      </c>
      <c r="G8" s="74">
        <v>2300</v>
      </c>
      <c r="H8" s="74">
        <v>2920</v>
      </c>
      <c r="I8" s="74">
        <v>3000</v>
      </c>
      <c r="J8" s="74">
        <f>3740</f>
        <v>3740</v>
      </c>
      <c r="K8" s="74">
        <v>1680</v>
      </c>
      <c r="L8" s="74">
        <v>1150</v>
      </c>
      <c r="M8" s="127">
        <f t="shared" si="1"/>
        <v>23530</v>
      </c>
      <c r="N8" s="74">
        <v>3000</v>
      </c>
      <c r="O8" s="74">
        <v>3740</v>
      </c>
      <c r="P8" s="74">
        <v>3120</v>
      </c>
      <c r="Q8" s="74">
        <v>4410</v>
      </c>
      <c r="R8" s="74">
        <v>3000</v>
      </c>
      <c r="S8" s="74">
        <v>3740</v>
      </c>
      <c r="T8" s="70">
        <v>2520</v>
      </c>
      <c r="U8" s="127">
        <f t="shared" si="2"/>
        <v>19940</v>
      </c>
      <c r="V8" s="138">
        <v>2450</v>
      </c>
      <c r="W8" s="140">
        <v>3000</v>
      </c>
      <c r="X8" s="140">
        <v>3440</v>
      </c>
      <c r="Y8" s="140">
        <v>3220</v>
      </c>
      <c r="Z8" s="140">
        <v>2320</v>
      </c>
      <c r="AA8" s="140">
        <v>3000</v>
      </c>
      <c r="AB8" s="140">
        <v>2510</v>
      </c>
      <c r="AC8" s="127">
        <f t="shared" si="3"/>
        <v>18390</v>
      </c>
      <c r="AD8" s="140">
        <v>2920</v>
      </c>
      <c r="AE8" s="140">
        <v>1720</v>
      </c>
      <c r="AF8" s="140">
        <v>3000</v>
      </c>
      <c r="AG8" s="140">
        <v>3440</v>
      </c>
      <c r="AH8" s="140">
        <v>2920</v>
      </c>
      <c r="AI8" s="140">
        <v>1390</v>
      </c>
      <c r="AJ8" s="140">
        <v>3000</v>
      </c>
      <c r="AK8" s="127">
        <f t="shared" si="4"/>
        <v>3580</v>
      </c>
      <c r="AL8" s="139">
        <v>1280</v>
      </c>
      <c r="AM8" s="139">
        <v>2300</v>
      </c>
      <c r="AN8" s="129"/>
    </row>
    <row r="9" spans="1:40" x14ac:dyDescent="0.3">
      <c r="A9" s="100"/>
      <c r="B9" s="103" t="s">
        <v>28</v>
      </c>
      <c r="C9" s="103"/>
      <c r="D9" s="104">
        <f t="shared" si="5"/>
        <v>10192</v>
      </c>
      <c r="E9" s="127">
        <f t="shared" si="0"/>
        <v>658</v>
      </c>
      <c r="F9" s="74">
        <f>89+90</f>
        <v>179</v>
      </c>
      <c r="G9" s="74">
        <v>180</v>
      </c>
      <c r="H9" s="74">
        <v>0</v>
      </c>
      <c r="I9" s="90">
        <v>0</v>
      </c>
      <c r="J9" s="74">
        <f>199</f>
        <v>199</v>
      </c>
      <c r="K9" s="74">
        <v>100</v>
      </c>
      <c r="L9" s="74">
        <v>0</v>
      </c>
      <c r="M9" s="127">
        <f t="shared" si="1"/>
        <v>1197</v>
      </c>
      <c r="N9" s="74">
        <v>0</v>
      </c>
      <c r="O9" s="74">
        <f>199+110</f>
        <v>309</v>
      </c>
      <c r="P9" s="74">
        <f>100</f>
        <v>100</v>
      </c>
      <c r="Q9" s="74">
        <v>0</v>
      </c>
      <c r="R9" s="74">
        <f>90+110</f>
        <v>200</v>
      </c>
      <c r="S9" s="74">
        <f>188+100</f>
        <v>288</v>
      </c>
      <c r="T9" s="70">
        <f>230+70</f>
        <v>300</v>
      </c>
      <c r="U9" s="127">
        <f t="shared" si="2"/>
        <v>5929</v>
      </c>
      <c r="V9" s="138">
        <v>240</v>
      </c>
      <c r="W9" s="140">
        <f>2358+1390</f>
        <v>3748</v>
      </c>
      <c r="X9" s="140">
        <v>368</v>
      </c>
      <c r="Y9" s="140">
        <v>470</v>
      </c>
      <c r="Z9" s="140">
        <f>295+140</f>
        <v>435</v>
      </c>
      <c r="AA9" s="140">
        <v>240</v>
      </c>
      <c r="AB9" s="140">
        <v>428</v>
      </c>
      <c r="AC9" s="127">
        <f t="shared" si="3"/>
        <v>2098</v>
      </c>
      <c r="AD9" s="140">
        <v>470</v>
      </c>
      <c r="AE9" s="140">
        <v>195</v>
      </c>
      <c r="AF9" s="140">
        <v>210</v>
      </c>
      <c r="AG9" s="140">
        <f>288+160</f>
        <v>448</v>
      </c>
      <c r="AH9" s="140">
        <v>490</v>
      </c>
      <c r="AI9" s="140">
        <v>165</v>
      </c>
      <c r="AJ9" s="140">
        <v>120</v>
      </c>
      <c r="AK9" s="127">
        <f t="shared" si="4"/>
        <v>310</v>
      </c>
      <c r="AL9" s="140"/>
      <c r="AM9" s="140">
        <v>310</v>
      </c>
      <c r="AN9" s="130"/>
    </row>
    <row r="10" spans="1:40" x14ac:dyDescent="0.3">
      <c r="A10" s="100"/>
      <c r="B10" s="107" t="s">
        <v>17</v>
      </c>
      <c r="C10" s="107"/>
      <c r="D10" s="104">
        <f t="shared" si="5"/>
        <v>0</v>
      </c>
      <c r="E10" s="127">
        <f t="shared" si="0"/>
        <v>0</v>
      </c>
      <c r="F10" s="130"/>
      <c r="G10" s="74"/>
      <c r="H10" s="130"/>
      <c r="I10" s="130"/>
      <c r="J10" s="74"/>
      <c r="K10" s="130"/>
      <c r="L10" s="130"/>
      <c r="M10" s="127">
        <f t="shared" si="1"/>
        <v>0</v>
      </c>
      <c r="N10" s="130"/>
      <c r="O10" s="130"/>
      <c r="P10" s="74"/>
      <c r="Q10" s="130"/>
      <c r="R10" s="130"/>
      <c r="S10" s="130"/>
      <c r="T10" s="130"/>
      <c r="U10" s="127">
        <f t="shared" si="2"/>
        <v>0</v>
      </c>
      <c r="V10" s="140"/>
      <c r="W10" s="140"/>
      <c r="X10" s="140"/>
      <c r="Y10" s="140"/>
      <c r="Z10" s="140"/>
      <c r="AA10" s="140"/>
      <c r="AB10" s="140"/>
      <c r="AC10" s="127">
        <f t="shared" si="3"/>
        <v>0</v>
      </c>
      <c r="AD10" s="140"/>
      <c r="AE10" s="140"/>
      <c r="AF10" s="140"/>
      <c r="AG10" s="140"/>
      <c r="AH10" s="140"/>
      <c r="AI10" s="140"/>
      <c r="AJ10" s="140"/>
      <c r="AK10" s="127">
        <f t="shared" si="4"/>
        <v>0</v>
      </c>
      <c r="AL10" s="140"/>
      <c r="AM10" s="140"/>
      <c r="AN10" s="130"/>
    </row>
    <row r="11" spans="1:40" x14ac:dyDescent="0.3">
      <c r="A11" s="100"/>
      <c r="B11" s="107" t="s">
        <v>38</v>
      </c>
      <c r="C11" s="107"/>
      <c r="D11" s="104">
        <f t="shared" si="5"/>
        <v>0</v>
      </c>
      <c r="E11" s="127">
        <f t="shared" si="0"/>
        <v>0</v>
      </c>
      <c r="F11" s="130"/>
      <c r="G11" s="74"/>
      <c r="H11" s="130"/>
      <c r="I11" s="130"/>
      <c r="J11" s="74"/>
      <c r="K11" s="130"/>
      <c r="L11" s="130"/>
      <c r="M11" s="127">
        <f t="shared" si="1"/>
        <v>0</v>
      </c>
      <c r="N11" s="130"/>
      <c r="O11" s="130"/>
      <c r="P11" s="130"/>
      <c r="Q11" s="130"/>
      <c r="R11" s="130"/>
      <c r="S11" s="130"/>
      <c r="T11" s="130"/>
      <c r="U11" s="127">
        <f t="shared" si="2"/>
        <v>0</v>
      </c>
      <c r="V11" s="140"/>
      <c r="W11" s="140"/>
      <c r="X11" s="140"/>
      <c r="Y11" s="140"/>
      <c r="Z11" s="140"/>
      <c r="AA11" s="140"/>
      <c r="AB11" s="140"/>
      <c r="AC11" s="127">
        <f t="shared" si="3"/>
        <v>0</v>
      </c>
      <c r="AD11" s="140"/>
      <c r="AE11" s="140"/>
      <c r="AF11" s="140"/>
      <c r="AG11" s="140"/>
      <c r="AH11" s="140"/>
      <c r="AI11" s="140"/>
      <c r="AJ11" s="140"/>
      <c r="AK11" s="127">
        <f t="shared" si="4"/>
        <v>0</v>
      </c>
      <c r="AL11" s="140"/>
      <c r="AM11" s="140"/>
      <c r="AN11" s="130"/>
    </row>
    <row r="12" spans="1:40" x14ac:dyDescent="0.3">
      <c r="A12" s="100"/>
      <c r="B12" s="107" t="s">
        <v>116</v>
      </c>
      <c r="C12" s="107"/>
      <c r="D12" s="104">
        <f t="shared" si="5"/>
        <v>0</v>
      </c>
      <c r="E12" s="127">
        <f t="shared" si="0"/>
        <v>0</v>
      </c>
      <c r="F12" s="130"/>
      <c r="G12" s="74"/>
      <c r="H12" s="130"/>
      <c r="I12" s="130"/>
      <c r="J12" s="74"/>
      <c r="K12" s="130"/>
      <c r="L12" s="130"/>
      <c r="M12" s="127">
        <f t="shared" si="1"/>
        <v>0</v>
      </c>
      <c r="N12" s="130"/>
      <c r="O12" s="130"/>
      <c r="P12" s="130"/>
      <c r="Q12" s="130"/>
      <c r="R12" s="130"/>
      <c r="S12" s="130"/>
      <c r="T12" s="130"/>
      <c r="U12" s="127">
        <f t="shared" si="2"/>
        <v>0</v>
      </c>
      <c r="V12" s="140"/>
      <c r="W12" s="140"/>
      <c r="X12" s="140"/>
      <c r="Y12" s="140"/>
      <c r="Z12" s="140"/>
      <c r="AA12" s="140"/>
      <c r="AB12" s="140"/>
      <c r="AC12" s="127">
        <f t="shared" si="3"/>
        <v>0</v>
      </c>
      <c r="AD12" s="140"/>
      <c r="AE12" s="140"/>
      <c r="AF12" s="140"/>
      <c r="AG12" s="140"/>
      <c r="AH12" s="140"/>
      <c r="AI12" s="140"/>
      <c r="AJ12" s="140"/>
      <c r="AK12" s="127">
        <f t="shared" si="4"/>
        <v>0</v>
      </c>
      <c r="AL12" s="140"/>
      <c r="AM12" s="140"/>
      <c r="AN12" s="130"/>
    </row>
    <row r="13" spans="1:40" x14ac:dyDescent="0.3">
      <c r="A13" s="100"/>
      <c r="B13" s="107" t="s">
        <v>46</v>
      </c>
      <c r="C13" s="107"/>
      <c r="D13" s="104">
        <f t="shared" si="5"/>
        <v>0</v>
      </c>
      <c r="E13" s="127">
        <f t="shared" si="0"/>
        <v>0</v>
      </c>
      <c r="F13" s="130"/>
      <c r="G13" s="74"/>
      <c r="H13" s="130"/>
      <c r="I13" s="130"/>
      <c r="J13" s="74"/>
      <c r="K13" s="130"/>
      <c r="L13" s="130"/>
      <c r="M13" s="127">
        <f t="shared" si="1"/>
        <v>0</v>
      </c>
      <c r="N13" s="130"/>
      <c r="O13" s="130"/>
      <c r="P13" s="130"/>
      <c r="Q13" s="130"/>
      <c r="R13" s="130"/>
      <c r="S13" s="130"/>
      <c r="T13" s="130"/>
      <c r="U13" s="127">
        <f t="shared" si="2"/>
        <v>0</v>
      </c>
      <c r="V13" s="140"/>
      <c r="W13" s="140"/>
      <c r="X13" s="140"/>
      <c r="Y13" s="140"/>
      <c r="Z13" s="140"/>
      <c r="AA13" s="140"/>
      <c r="AB13" s="140"/>
      <c r="AC13" s="127">
        <f t="shared" si="3"/>
        <v>0</v>
      </c>
      <c r="AD13" s="140"/>
      <c r="AE13" s="140"/>
      <c r="AF13" s="140"/>
      <c r="AG13" s="140"/>
      <c r="AH13" s="140"/>
      <c r="AI13" s="140"/>
      <c r="AJ13" s="140"/>
      <c r="AK13" s="127">
        <f t="shared" si="4"/>
        <v>0</v>
      </c>
      <c r="AL13" s="140"/>
      <c r="AM13" s="140"/>
      <c r="AN13" s="130"/>
    </row>
    <row r="14" spans="1:40" x14ac:dyDescent="0.3">
      <c r="A14" s="100"/>
      <c r="B14" s="107" t="s">
        <v>3</v>
      </c>
      <c r="C14" s="107"/>
      <c r="D14" s="104">
        <f t="shared" si="5"/>
        <v>0</v>
      </c>
      <c r="E14" s="127">
        <f t="shared" si="0"/>
        <v>0</v>
      </c>
      <c r="F14" s="130"/>
      <c r="G14" s="74"/>
      <c r="H14" s="130"/>
      <c r="I14" s="130"/>
      <c r="J14" s="74"/>
      <c r="K14" s="130"/>
      <c r="L14" s="130"/>
      <c r="M14" s="127">
        <f t="shared" si="1"/>
        <v>0</v>
      </c>
      <c r="N14" s="130"/>
      <c r="O14" s="130"/>
      <c r="P14" s="130"/>
      <c r="Q14" s="130"/>
      <c r="R14" s="130"/>
      <c r="S14" s="130"/>
      <c r="T14" s="130"/>
      <c r="U14" s="127">
        <f t="shared" si="2"/>
        <v>0</v>
      </c>
      <c r="V14" s="140"/>
      <c r="W14" s="140"/>
      <c r="X14" s="140"/>
      <c r="Y14" s="140"/>
      <c r="Z14" s="140"/>
      <c r="AA14" s="140"/>
      <c r="AB14" s="140"/>
      <c r="AC14" s="127">
        <f t="shared" si="3"/>
        <v>0</v>
      </c>
      <c r="AD14" s="140"/>
      <c r="AE14" s="140"/>
      <c r="AF14" s="140"/>
      <c r="AG14" s="140"/>
      <c r="AH14" s="140"/>
      <c r="AI14" s="140"/>
      <c r="AJ14" s="140"/>
      <c r="AK14" s="127">
        <f t="shared" si="4"/>
        <v>0</v>
      </c>
      <c r="AL14" s="140"/>
      <c r="AM14" s="140"/>
      <c r="AN14" s="130"/>
    </row>
    <row r="15" spans="1:40" x14ac:dyDescent="0.3">
      <c r="A15" s="100"/>
      <c r="B15" s="107" t="s">
        <v>198</v>
      </c>
      <c r="C15" s="107"/>
      <c r="D15" s="104">
        <f t="shared" si="5"/>
        <v>0</v>
      </c>
      <c r="E15" s="127">
        <f t="shared" si="0"/>
        <v>0</v>
      </c>
      <c r="F15" s="130"/>
      <c r="G15" s="74"/>
      <c r="H15" s="130"/>
      <c r="I15" s="130"/>
      <c r="J15" s="74"/>
      <c r="K15" s="130"/>
      <c r="L15" s="130"/>
      <c r="M15" s="127">
        <f t="shared" si="1"/>
        <v>0</v>
      </c>
      <c r="N15" s="130"/>
      <c r="O15" s="130"/>
      <c r="P15" s="130"/>
      <c r="Q15" s="130"/>
      <c r="R15" s="130"/>
      <c r="S15" s="130"/>
      <c r="T15" s="130"/>
      <c r="U15" s="127">
        <f t="shared" si="2"/>
        <v>0</v>
      </c>
      <c r="V15" s="140"/>
      <c r="W15" s="140"/>
      <c r="X15" s="140"/>
      <c r="Y15" s="140"/>
      <c r="Z15" s="140"/>
      <c r="AA15" s="140"/>
      <c r="AB15" s="140"/>
      <c r="AC15" s="127">
        <f t="shared" si="3"/>
        <v>0</v>
      </c>
      <c r="AD15" s="140"/>
      <c r="AE15" s="140"/>
      <c r="AF15" s="140"/>
      <c r="AG15" s="140"/>
      <c r="AH15" s="140"/>
      <c r="AI15" s="140"/>
      <c r="AJ15" s="140"/>
      <c r="AK15" s="127">
        <f t="shared" si="4"/>
        <v>0</v>
      </c>
      <c r="AL15" s="140"/>
      <c r="AM15" s="140"/>
      <c r="AN15" s="130"/>
    </row>
    <row r="16" spans="1:40" x14ac:dyDescent="0.3">
      <c r="A16" s="100"/>
      <c r="B16" s="107" t="s">
        <v>118</v>
      </c>
      <c r="C16" s="107"/>
      <c r="D16" s="104">
        <f t="shared" si="5"/>
        <v>0</v>
      </c>
      <c r="E16" s="127">
        <f t="shared" si="0"/>
        <v>0</v>
      </c>
      <c r="F16" s="130"/>
      <c r="G16" s="74"/>
      <c r="H16" s="130"/>
      <c r="I16" s="130"/>
      <c r="J16" s="74"/>
      <c r="K16" s="130"/>
      <c r="L16" s="130"/>
      <c r="M16" s="127">
        <f t="shared" si="1"/>
        <v>0</v>
      </c>
      <c r="N16" s="130"/>
      <c r="O16" s="130"/>
      <c r="P16" s="130"/>
      <c r="Q16" s="130"/>
      <c r="R16" s="130"/>
      <c r="S16" s="130"/>
      <c r="T16" s="130"/>
      <c r="U16" s="127">
        <f t="shared" si="2"/>
        <v>0</v>
      </c>
      <c r="V16" s="140"/>
      <c r="W16" s="140"/>
      <c r="X16" s="140"/>
      <c r="Y16" s="140"/>
      <c r="Z16" s="140"/>
      <c r="AA16" s="140"/>
      <c r="AB16" s="140"/>
      <c r="AC16" s="127">
        <f t="shared" si="3"/>
        <v>0</v>
      </c>
      <c r="AD16" s="140"/>
      <c r="AE16" s="140"/>
      <c r="AF16" s="140"/>
      <c r="AG16" s="140"/>
      <c r="AH16" s="140"/>
      <c r="AI16" s="140"/>
      <c r="AJ16" s="140"/>
      <c r="AK16" s="127">
        <f t="shared" si="4"/>
        <v>0</v>
      </c>
      <c r="AL16" s="140"/>
      <c r="AM16" s="140"/>
      <c r="AN16" s="130"/>
    </row>
    <row r="17" spans="1:40" x14ac:dyDescent="0.3">
      <c r="A17" s="100"/>
      <c r="B17" s="107" t="s">
        <v>13</v>
      </c>
      <c r="C17" s="107"/>
      <c r="D17" s="104">
        <f t="shared" si="5"/>
        <v>0</v>
      </c>
      <c r="E17" s="127">
        <f t="shared" si="0"/>
        <v>0</v>
      </c>
      <c r="F17" s="130"/>
      <c r="G17" s="74"/>
      <c r="H17" s="130"/>
      <c r="I17" s="130"/>
      <c r="J17" s="74"/>
      <c r="K17" s="130"/>
      <c r="L17" s="130"/>
      <c r="M17" s="127">
        <f t="shared" si="1"/>
        <v>0</v>
      </c>
      <c r="N17" s="130"/>
      <c r="O17" s="130"/>
      <c r="P17" s="130"/>
      <c r="Q17" s="130"/>
      <c r="R17" s="130"/>
      <c r="S17" s="130"/>
      <c r="T17" s="130"/>
      <c r="U17" s="127">
        <f t="shared" si="2"/>
        <v>0</v>
      </c>
      <c r="V17" s="140"/>
      <c r="W17" s="140"/>
      <c r="X17" s="140"/>
      <c r="Y17" s="140"/>
      <c r="Z17" s="140"/>
      <c r="AA17" s="140"/>
      <c r="AB17" s="140"/>
      <c r="AC17" s="127">
        <f t="shared" si="3"/>
        <v>0</v>
      </c>
      <c r="AD17" s="140"/>
      <c r="AE17" s="140"/>
      <c r="AF17" s="140"/>
      <c r="AG17" s="140"/>
      <c r="AH17" s="140"/>
      <c r="AI17" s="140"/>
      <c r="AJ17" s="140"/>
      <c r="AK17" s="127">
        <f t="shared" si="4"/>
        <v>0</v>
      </c>
      <c r="AL17" s="140"/>
      <c r="AM17" s="140"/>
      <c r="AN17" s="130"/>
    </row>
    <row r="18" spans="1:40" x14ac:dyDescent="0.3">
      <c r="A18" s="100"/>
      <c r="B18" s="107" t="s">
        <v>26</v>
      </c>
      <c r="C18" s="107"/>
      <c r="D18" s="104">
        <f t="shared" si="5"/>
        <v>0</v>
      </c>
      <c r="E18" s="127">
        <f t="shared" si="0"/>
        <v>0</v>
      </c>
      <c r="F18" s="130"/>
      <c r="G18" s="74"/>
      <c r="H18" s="130"/>
      <c r="I18" s="130"/>
      <c r="J18" s="74"/>
      <c r="K18" s="130"/>
      <c r="L18" s="130"/>
      <c r="M18" s="127">
        <f t="shared" si="1"/>
        <v>0</v>
      </c>
      <c r="N18" s="74"/>
      <c r="O18" s="130"/>
      <c r="P18" s="130"/>
      <c r="Q18" s="130"/>
      <c r="R18" s="130"/>
      <c r="S18" s="130"/>
      <c r="T18" s="130"/>
      <c r="U18" s="127">
        <f t="shared" si="2"/>
        <v>0</v>
      </c>
      <c r="V18" s="140"/>
      <c r="W18" s="140"/>
      <c r="X18" s="140"/>
      <c r="Y18" s="140"/>
      <c r="Z18" s="140"/>
      <c r="AA18" s="140"/>
      <c r="AB18" s="140"/>
      <c r="AC18" s="127">
        <f t="shared" si="3"/>
        <v>0</v>
      </c>
      <c r="AD18" s="140"/>
      <c r="AE18" s="140"/>
      <c r="AF18" s="140"/>
      <c r="AG18" s="140"/>
      <c r="AH18" s="140"/>
      <c r="AI18" s="140"/>
      <c r="AJ18" s="140"/>
      <c r="AK18" s="127">
        <f t="shared" si="4"/>
        <v>0</v>
      </c>
      <c r="AL18" s="140"/>
      <c r="AM18" s="140"/>
      <c r="AN18" s="130"/>
    </row>
    <row r="19" spans="1:40" x14ac:dyDescent="0.3">
      <c r="A19" s="100"/>
      <c r="B19" s="103" t="s">
        <v>1</v>
      </c>
      <c r="C19" s="103"/>
      <c r="D19" s="104">
        <f t="shared" si="5"/>
        <v>114288</v>
      </c>
      <c r="E19" s="127">
        <f t="shared" si="0"/>
        <v>27938</v>
      </c>
      <c r="F19" s="74">
        <f>1600+1100</f>
        <v>2700</v>
      </c>
      <c r="G19" s="74">
        <f>2940+1740</f>
        <v>4680</v>
      </c>
      <c r="H19" s="74">
        <f>4130+1710</f>
        <v>5840</v>
      </c>
      <c r="I19" s="74">
        <f>2358+1340</f>
        <v>3698</v>
      </c>
      <c r="J19" s="74">
        <f>3950+2250</f>
        <v>6200</v>
      </c>
      <c r="K19" s="74">
        <f>2400+1870</f>
        <v>4270</v>
      </c>
      <c r="L19" s="74">
        <f>420+130</f>
        <v>550</v>
      </c>
      <c r="M19" s="127">
        <f t="shared" si="1"/>
        <v>25981</v>
      </c>
      <c r="N19" s="74">
        <f>2358+175</f>
        <v>2533</v>
      </c>
      <c r="O19" s="74">
        <f>3200+1500</f>
        <v>4700</v>
      </c>
      <c r="P19" s="74">
        <f>3230+1950</f>
        <v>5180</v>
      </c>
      <c r="Q19" s="74">
        <f>550+130</f>
        <v>680</v>
      </c>
      <c r="R19" s="74">
        <f>2358+1790</f>
        <v>4148</v>
      </c>
      <c r="S19" s="74">
        <f>3000+1500</f>
        <v>4500</v>
      </c>
      <c r="T19" s="70">
        <f>2660+1580</f>
        <v>4240</v>
      </c>
      <c r="U19" s="127">
        <f t="shared" si="2"/>
        <v>22128</v>
      </c>
      <c r="V19" s="138">
        <f>2000+1270</f>
        <v>3270</v>
      </c>
      <c r="W19" s="140">
        <v>3270</v>
      </c>
      <c r="X19" s="140">
        <v>4900</v>
      </c>
      <c r="Y19" s="140">
        <v>470</v>
      </c>
      <c r="Z19" s="140">
        <v>1440</v>
      </c>
      <c r="AA19" s="140">
        <f>2358+1580</f>
        <v>3938</v>
      </c>
      <c r="AB19" s="140">
        <f>3090+1750</f>
        <v>4840</v>
      </c>
      <c r="AC19" s="127">
        <f t="shared" si="3"/>
        <v>31391</v>
      </c>
      <c r="AD19" s="140">
        <f>1990+3630</f>
        <v>5620</v>
      </c>
      <c r="AE19" s="140">
        <v>3675</v>
      </c>
      <c r="AF19" s="140">
        <f>1390+2358</f>
        <v>3748</v>
      </c>
      <c r="AG19" s="140">
        <v>5500</v>
      </c>
      <c r="AH19" s="140">
        <v>6060</v>
      </c>
      <c r="AI19" s="140">
        <f>1420+2120</f>
        <v>3540</v>
      </c>
      <c r="AJ19" s="140">
        <f>2358+890</f>
        <v>3248</v>
      </c>
      <c r="AK19" s="127">
        <f t="shared" si="4"/>
        <v>6850</v>
      </c>
      <c r="AL19" s="140">
        <v>2060</v>
      </c>
      <c r="AM19" s="140">
        <f>3090+1700</f>
        <v>4790</v>
      </c>
      <c r="AN19" s="130"/>
    </row>
    <row r="20" spans="1:40" x14ac:dyDescent="0.3">
      <c r="A20" s="100"/>
      <c r="B20" s="107" t="s">
        <v>199</v>
      </c>
      <c r="C20" s="107"/>
      <c r="D20" s="104">
        <f t="shared" si="5"/>
        <v>0</v>
      </c>
      <c r="E20" s="127">
        <f t="shared" si="0"/>
        <v>0</v>
      </c>
      <c r="F20" s="74"/>
      <c r="G20" s="74"/>
      <c r="H20" s="74"/>
      <c r="I20" s="74"/>
      <c r="J20" s="74"/>
      <c r="K20" s="74"/>
      <c r="L20" s="74"/>
      <c r="M20" s="127">
        <f t="shared" si="1"/>
        <v>0</v>
      </c>
      <c r="N20" s="74"/>
      <c r="O20" s="74"/>
      <c r="P20" s="74"/>
      <c r="Q20" s="74"/>
      <c r="R20" s="74"/>
      <c r="S20" s="74"/>
      <c r="T20" s="70"/>
      <c r="U20" s="127">
        <f t="shared" si="2"/>
        <v>0</v>
      </c>
      <c r="V20" s="138"/>
      <c r="W20" s="140"/>
      <c r="X20" s="140"/>
      <c r="Y20" s="140"/>
      <c r="Z20" s="140"/>
      <c r="AA20" s="140"/>
      <c r="AB20" s="140"/>
      <c r="AC20" s="127">
        <f t="shared" si="3"/>
        <v>0</v>
      </c>
      <c r="AD20" s="140"/>
      <c r="AE20" s="140"/>
      <c r="AF20" s="140"/>
      <c r="AG20" s="140"/>
      <c r="AH20" s="140"/>
      <c r="AI20" s="140"/>
      <c r="AJ20" s="140"/>
      <c r="AK20" s="127">
        <f t="shared" si="4"/>
        <v>0</v>
      </c>
      <c r="AL20" s="140"/>
      <c r="AM20" s="140"/>
      <c r="AN20" s="130"/>
    </row>
    <row r="21" spans="1:40" x14ac:dyDescent="0.3">
      <c r="A21" s="100"/>
      <c r="B21" s="108" t="s">
        <v>200</v>
      </c>
      <c r="C21" s="109"/>
      <c r="D21" s="104">
        <f t="shared" si="5"/>
        <v>7245</v>
      </c>
      <c r="E21" s="127">
        <f t="shared" si="0"/>
        <v>1289</v>
      </c>
      <c r="F21" s="74">
        <f>255+50</f>
        <v>305</v>
      </c>
      <c r="G21" s="74">
        <f>65+35</f>
        <v>100</v>
      </c>
      <c r="H21" s="74">
        <f>140+90</f>
        <v>230</v>
      </c>
      <c r="I21" s="74">
        <f>105+55</f>
        <v>160</v>
      </c>
      <c r="J21" s="74">
        <v>350</v>
      </c>
      <c r="K21" s="74">
        <v>110</v>
      </c>
      <c r="L21" s="74">
        <f>20+14</f>
        <v>34</v>
      </c>
      <c r="M21" s="127">
        <f t="shared" si="1"/>
        <v>1263</v>
      </c>
      <c r="N21" s="74">
        <f>66+26</f>
        <v>92</v>
      </c>
      <c r="O21" s="74">
        <f>50+150</f>
        <v>200</v>
      </c>
      <c r="P21" s="74">
        <f>71+40</f>
        <v>111</v>
      </c>
      <c r="Q21" s="74">
        <f>64+14</f>
        <v>78</v>
      </c>
      <c r="R21" s="74">
        <f>180+170</f>
        <v>350</v>
      </c>
      <c r="S21" s="74">
        <f>300+50</f>
        <v>350</v>
      </c>
      <c r="T21" s="70">
        <f>56+26</f>
        <v>82</v>
      </c>
      <c r="U21" s="127">
        <f t="shared" si="2"/>
        <v>1511</v>
      </c>
      <c r="V21" s="138">
        <f>24+14</f>
        <v>38</v>
      </c>
      <c r="W21" s="140">
        <v>395</v>
      </c>
      <c r="X21" s="140">
        <v>350</v>
      </c>
      <c r="Y21" s="140">
        <v>142</v>
      </c>
      <c r="Z21" s="140">
        <v>66</v>
      </c>
      <c r="AA21" s="140">
        <v>220</v>
      </c>
      <c r="AB21" s="140">
        <v>300</v>
      </c>
      <c r="AC21" s="127">
        <f t="shared" si="3"/>
        <v>1542</v>
      </c>
      <c r="AD21" s="140">
        <v>128</v>
      </c>
      <c r="AE21" s="140">
        <v>80</v>
      </c>
      <c r="AF21" s="140">
        <f>229+175</f>
        <v>404</v>
      </c>
      <c r="AG21" s="140">
        <v>350</v>
      </c>
      <c r="AH21" s="140">
        <v>160</v>
      </c>
      <c r="AI21" s="140">
        <v>70</v>
      </c>
      <c r="AJ21" s="140">
        <f>165+185</f>
        <v>350</v>
      </c>
      <c r="AK21" s="127">
        <f t="shared" si="4"/>
        <v>1640</v>
      </c>
      <c r="AL21" s="140">
        <v>340</v>
      </c>
      <c r="AM21" s="140">
        <v>1300</v>
      </c>
      <c r="AN21" s="130"/>
    </row>
    <row r="22" spans="1:40" x14ac:dyDescent="0.3">
      <c r="A22" s="100"/>
      <c r="B22" s="103" t="s">
        <v>15</v>
      </c>
      <c r="C22" s="103"/>
      <c r="D22" s="104">
        <f t="shared" si="5"/>
        <v>19180</v>
      </c>
      <c r="E22" s="127">
        <f t="shared" si="0"/>
        <v>4250</v>
      </c>
      <c r="F22" s="74">
        <f>530+280</f>
        <v>810</v>
      </c>
      <c r="G22" s="74">
        <f>290+120</f>
        <v>410</v>
      </c>
      <c r="H22" s="74">
        <f>415+235</f>
        <v>650</v>
      </c>
      <c r="I22" s="74">
        <f>305+180</f>
        <v>485</v>
      </c>
      <c r="J22" s="74">
        <f>920+370</f>
        <v>1290</v>
      </c>
      <c r="K22" s="74">
        <f>225+115</f>
        <v>340</v>
      </c>
      <c r="L22" s="74">
        <f>75+190</f>
        <v>265</v>
      </c>
      <c r="M22" s="127">
        <f t="shared" si="1"/>
        <v>4795</v>
      </c>
      <c r="N22" s="74">
        <f>220+175</f>
        <v>395</v>
      </c>
      <c r="O22" s="74">
        <f>770+220</f>
        <v>990</v>
      </c>
      <c r="P22" s="74">
        <f>330+150</f>
        <v>480</v>
      </c>
      <c r="Q22" s="74">
        <f>365+75</f>
        <v>440</v>
      </c>
      <c r="R22" s="74">
        <f>635+605</f>
        <v>1240</v>
      </c>
      <c r="S22" s="74">
        <f>730+180</f>
        <v>910</v>
      </c>
      <c r="T22" s="70">
        <f>240+100</f>
        <v>340</v>
      </c>
      <c r="U22" s="127">
        <f t="shared" si="2"/>
        <v>4505</v>
      </c>
      <c r="V22" s="138">
        <f>350+215</f>
        <v>565</v>
      </c>
      <c r="W22" s="140">
        <f>365+285</f>
        <v>650</v>
      </c>
      <c r="X22" s="140">
        <v>910</v>
      </c>
      <c r="Y22" s="140">
        <v>550</v>
      </c>
      <c r="Z22" s="140">
        <v>490</v>
      </c>
      <c r="AA22" s="140">
        <v>470</v>
      </c>
      <c r="AB22" s="140">
        <v>870</v>
      </c>
      <c r="AC22" s="127">
        <f t="shared" si="3"/>
        <v>4460</v>
      </c>
      <c r="AD22" s="139">
        <v>540</v>
      </c>
      <c r="AE22" s="139">
        <v>545</v>
      </c>
      <c r="AF22" s="139">
        <f>355+285</f>
        <v>640</v>
      </c>
      <c r="AG22" s="139">
        <v>1170</v>
      </c>
      <c r="AH22" s="139">
        <v>710</v>
      </c>
      <c r="AI22" s="139">
        <v>505</v>
      </c>
      <c r="AJ22" s="139">
        <v>350</v>
      </c>
      <c r="AK22" s="127">
        <f t="shared" si="4"/>
        <v>1170</v>
      </c>
      <c r="AL22" s="139">
        <v>710</v>
      </c>
      <c r="AM22" s="139">
        <v>460</v>
      </c>
      <c r="AN22" s="129"/>
    </row>
    <row r="23" spans="1:40" x14ac:dyDescent="0.3">
      <c r="A23" s="100"/>
      <c r="B23" s="103" t="s">
        <v>9</v>
      </c>
      <c r="C23" s="103"/>
      <c r="D23" s="104">
        <f t="shared" si="5"/>
        <v>5382</v>
      </c>
      <c r="E23" s="127">
        <f t="shared" si="0"/>
        <v>1364</v>
      </c>
      <c r="F23" s="74">
        <f>55+60</f>
        <v>115</v>
      </c>
      <c r="G23" s="74">
        <f>130+50</f>
        <v>180</v>
      </c>
      <c r="H23" s="74">
        <f>240+100</f>
        <v>340</v>
      </c>
      <c r="I23" s="74">
        <f>160+90</f>
        <v>250</v>
      </c>
      <c r="J23" s="74">
        <f>146+90</f>
        <v>236</v>
      </c>
      <c r="K23" s="74">
        <f>85+45</f>
        <v>130</v>
      </c>
      <c r="L23" s="74">
        <f>68+45</f>
        <v>113</v>
      </c>
      <c r="M23" s="127">
        <f t="shared" si="1"/>
        <v>1119</v>
      </c>
      <c r="N23" s="74">
        <f>112+47</f>
        <v>159</v>
      </c>
      <c r="O23" s="74">
        <v>156</v>
      </c>
      <c r="P23" s="74">
        <f>45+155</f>
        <v>200</v>
      </c>
      <c r="Q23" s="74">
        <f>45+68</f>
        <v>113</v>
      </c>
      <c r="R23" s="74">
        <f>120+60</f>
        <v>180</v>
      </c>
      <c r="S23" s="74">
        <f>106+50</f>
        <v>156</v>
      </c>
      <c r="T23" s="70">
        <f>45+110</f>
        <v>155</v>
      </c>
      <c r="U23" s="127">
        <f t="shared" si="2"/>
        <v>1199</v>
      </c>
      <c r="V23" s="138">
        <f>95+45</f>
        <v>140</v>
      </c>
      <c r="W23" s="139">
        <v>180</v>
      </c>
      <c r="X23" s="139">
        <v>156</v>
      </c>
      <c r="Y23" s="139">
        <v>195</v>
      </c>
      <c r="Z23" s="139">
        <v>142</v>
      </c>
      <c r="AA23" s="139">
        <v>230</v>
      </c>
      <c r="AB23" s="139">
        <v>156</v>
      </c>
      <c r="AC23" s="127">
        <f t="shared" si="3"/>
        <v>1387</v>
      </c>
      <c r="AD23" s="139">
        <v>263</v>
      </c>
      <c r="AE23" s="139">
        <v>134</v>
      </c>
      <c r="AF23" s="139">
        <v>215</v>
      </c>
      <c r="AG23" s="139">
        <v>176</v>
      </c>
      <c r="AH23" s="139">
        <v>343</v>
      </c>
      <c r="AI23" s="139">
        <v>129</v>
      </c>
      <c r="AJ23" s="139">
        <v>127</v>
      </c>
      <c r="AK23" s="127">
        <f t="shared" si="4"/>
        <v>313</v>
      </c>
      <c r="AL23" s="139">
        <v>153</v>
      </c>
      <c r="AM23" s="139">
        <v>160</v>
      </c>
      <c r="AN23" s="129"/>
    </row>
    <row r="24" spans="1:40" x14ac:dyDescent="0.3">
      <c r="A24" s="100"/>
      <c r="B24" s="100" t="s">
        <v>35</v>
      </c>
      <c r="C24" s="100"/>
      <c r="D24" s="104">
        <f t="shared" si="5"/>
        <v>0</v>
      </c>
      <c r="E24" s="127">
        <f t="shared" si="0"/>
        <v>0</v>
      </c>
      <c r="F24" s="129"/>
      <c r="G24" s="129"/>
      <c r="H24" s="129"/>
      <c r="I24" s="129"/>
      <c r="J24" s="129"/>
      <c r="K24" s="129"/>
      <c r="L24" s="129"/>
      <c r="M24" s="127">
        <f t="shared" si="1"/>
        <v>0</v>
      </c>
      <c r="N24" s="129"/>
      <c r="O24" s="74"/>
      <c r="P24" s="129"/>
      <c r="Q24" s="129"/>
      <c r="R24" s="129"/>
      <c r="S24" s="129"/>
      <c r="T24" s="129"/>
      <c r="U24" s="127">
        <f t="shared" si="2"/>
        <v>0</v>
      </c>
      <c r="V24" s="139"/>
      <c r="W24" s="139"/>
      <c r="X24" s="139"/>
      <c r="Y24" s="139"/>
      <c r="Z24" s="139"/>
      <c r="AA24" s="139"/>
      <c r="AB24" s="139"/>
      <c r="AC24" s="127">
        <f t="shared" si="3"/>
        <v>0</v>
      </c>
      <c r="AD24" s="139"/>
      <c r="AE24" s="139"/>
      <c r="AF24" s="139"/>
      <c r="AG24" s="139"/>
      <c r="AH24" s="139"/>
      <c r="AI24" s="139"/>
      <c r="AJ24" s="139"/>
      <c r="AK24" s="127">
        <f t="shared" si="4"/>
        <v>0</v>
      </c>
      <c r="AL24" s="139"/>
      <c r="AM24" s="139"/>
      <c r="AN24" s="129"/>
    </row>
    <row r="25" spans="1:40" x14ac:dyDescent="0.3">
      <c r="A25" s="97" t="s">
        <v>4</v>
      </c>
      <c r="B25" s="97"/>
      <c r="C25" s="97"/>
      <c r="D25" s="110">
        <f>SUM(D6:D24)</f>
        <v>316917</v>
      </c>
      <c r="E25" s="110">
        <f t="shared" ref="E25:AN25" si="6">SUM(E6:E24)</f>
        <v>73719</v>
      </c>
      <c r="F25" s="110">
        <f t="shared" si="6"/>
        <v>10329</v>
      </c>
      <c r="G25" s="110">
        <f t="shared" si="6"/>
        <v>9810</v>
      </c>
      <c r="H25" s="110">
        <f t="shared" si="6"/>
        <v>13680</v>
      </c>
      <c r="I25" s="110">
        <f t="shared" si="6"/>
        <v>11673</v>
      </c>
      <c r="J25" s="110">
        <f t="shared" si="6"/>
        <v>15595</v>
      </c>
      <c r="K25" s="110">
        <f t="shared" si="6"/>
        <v>9000</v>
      </c>
      <c r="L25" s="110">
        <f t="shared" si="6"/>
        <v>3632</v>
      </c>
      <c r="M25" s="110">
        <f t="shared" si="6"/>
        <v>70505</v>
      </c>
      <c r="N25" s="110">
        <f t="shared" si="6"/>
        <v>8179</v>
      </c>
      <c r="O25" s="110">
        <f t="shared" si="6"/>
        <v>12275</v>
      </c>
      <c r="P25" s="110">
        <f t="shared" si="6"/>
        <v>11451</v>
      </c>
      <c r="Q25" s="110">
        <f t="shared" si="6"/>
        <v>6991</v>
      </c>
      <c r="R25" s="110">
        <f t="shared" si="6"/>
        <v>10388</v>
      </c>
      <c r="S25" s="110">
        <f t="shared" si="6"/>
        <v>11544</v>
      </c>
      <c r="T25" s="110">
        <f t="shared" si="6"/>
        <v>9677</v>
      </c>
      <c r="U25" s="110">
        <f t="shared" si="6"/>
        <v>73802</v>
      </c>
      <c r="V25" s="110">
        <f t="shared" si="6"/>
        <v>7793</v>
      </c>
      <c r="W25" s="110">
        <f>SUM(W6:W24)</f>
        <v>14223</v>
      </c>
      <c r="X25" s="110">
        <f t="shared" si="6"/>
        <v>12824</v>
      </c>
      <c r="Y25" s="110">
        <f t="shared" si="6"/>
        <v>7227</v>
      </c>
      <c r="Z25" s="110">
        <f t="shared" si="6"/>
        <v>8503</v>
      </c>
      <c r="AA25" s="110">
        <f t="shared" si="6"/>
        <v>10018</v>
      </c>
      <c r="AB25" s="110">
        <f t="shared" si="6"/>
        <v>13214</v>
      </c>
      <c r="AC25" s="110">
        <f t="shared" si="6"/>
        <v>79408</v>
      </c>
      <c r="AD25" s="110">
        <f t="shared" si="6"/>
        <v>14081</v>
      </c>
      <c r="AE25" s="110">
        <f t="shared" si="6"/>
        <v>8209</v>
      </c>
      <c r="AF25" s="110">
        <f t="shared" si="6"/>
        <v>10817</v>
      </c>
      <c r="AG25" s="110">
        <f t="shared" si="6"/>
        <v>14834</v>
      </c>
      <c r="AH25" s="110">
        <f t="shared" si="6"/>
        <v>14763</v>
      </c>
      <c r="AI25" s="110">
        <f t="shared" si="6"/>
        <v>7609</v>
      </c>
      <c r="AJ25" s="110">
        <f t="shared" si="6"/>
        <v>9095</v>
      </c>
      <c r="AK25" s="110">
        <f t="shared" si="6"/>
        <v>19483</v>
      </c>
      <c r="AL25" s="110">
        <f t="shared" si="6"/>
        <v>6823</v>
      </c>
      <c r="AM25" s="110">
        <f t="shared" si="6"/>
        <v>12660</v>
      </c>
      <c r="AN25" s="110">
        <f t="shared" si="6"/>
        <v>0</v>
      </c>
    </row>
    <row r="26" spans="1:40" x14ac:dyDescent="0.3">
      <c r="A26" s="100"/>
      <c r="B26" s="100" t="s">
        <v>6</v>
      </c>
      <c r="C26" s="56" t="s">
        <v>32</v>
      </c>
      <c r="D26" s="104">
        <f>SUM(F26:L26,N26:T26,V26:AB26,AD26:AJ26,AL26:AM26)</f>
        <v>0</v>
      </c>
      <c r="E26" s="127">
        <f t="shared" ref="E26:E27" si="7">SUM(F26:L26)</f>
        <v>0</v>
      </c>
      <c r="F26" s="74"/>
      <c r="G26" s="74"/>
      <c r="H26" s="74"/>
      <c r="I26" s="74"/>
      <c r="J26" s="74"/>
      <c r="K26" s="74"/>
      <c r="L26" s="74"/>
      <c r="M26" s="127">
        <f t="shared" ref="M26:M27" si="8">SUM(N26:T26)</f>
        <v>0</v>
      </c>
      <c r="N26" s="74"/>
      <c r="O26" s="74"/>
      <c r="P26" s="74"/>
      <c r="Q26" s="74"/>
      <c r="R26" s="74"/>
      <c r="S26" s="74"/>
      <c r="T26" s="74"/>
      <c r="U26" s="127">
        <f t="shared" ref="U26:U27" si="9">SUM(V26:AB26)</f>
        <v>0</v>
      </c>
      <c r="V26" s="74"/>
      <c r="W26" s="70"/>
      <c r="X26" s="70"/>
      <c r="Y26" s="70"/>
      <c r="Z26" s="70"/>
      <c r="AA26" s="70"/>
      <c r="AB26" s="70"/>
      <c r="AC26" s="127">
        <f t="shared" ref="AC26:AC27" si="10">SUM(AD26:AJ26)</f>
        <v>0</v>
      </c>
      <c r="AD26" s="70"/>
      <c r="AE26" s="70"/>
      <c r="AF26" s="70"/>
      <c r="AG26" s="70"/>
      <c r="AH26" s="70"/>
      <c r="AI26" s="70"/>
      <c r="AJ26" s="70"/>
      <c r="AK26" s="127">
        <f t="shared" ref="AK26:AK27" si="11">SUM(AL26:AR26)</f>
        <v>0</v>
      </c>
      <c r="AL26" s="70"/>
      <c r="AM26" s="70"/>
      <c r="AN26" s="70"/>
    </row>
    <row r="27" spans="1:40" x14ac:dyDescent="0.3">
      <c r="A27" s="100"/>
      <c r="B27" s="100"/>
      <c r="C27" s="56" t="s">
        <v>121</v>
      </c>
      <c r="D27" s="104">
        <f>SUM(F27:L27,N27:T27,V27:AB27,AD27:AJ27,AL27:AM27)</f>
        <v>108900</v>
      </c>
      <c r="E27" s="127">
        <f t="shared" si="7"/>
        <v>28465</v>
      </c>
      <c r="F27" s="74">
        <f>1400+2050</f>
        <v>3450</v>
      </c>
      <c r="G27" s="74">
        <f>1630+3210</f>
        <v>4840</v>
      </c>
      <c r="H27" s="74">
        <f>2750+1200</f>
        <v>3950</v>
      </c>
      <c r="I27" s="74">
        <f>2015+1400</f>
        <v>3415</v>
      </c>
      <c r="J27" s="74">
        <f>4450+2400</f>
        <v>6850</v>
      </c>
      <c r="K27" s="74">
        <f>2360+1330</f>
        <v>3690</v>
      </c>
      <c r="L27" s="74">
        <f>1340+930</f>
        <v>2270</v>
      </c>
      <c r="M27" s="127">
        <f t="shared" si="8"/>
        <v>25870</v>
      </c>
      <c r="N27" s="74">
        <f>2015+800</f>
        <v>2815</v>
      </c>
      <c r="O27" s="74">
        <f>3480+1500</f>
        <v>4980</v>
      </c>
      <c r="P27" s="74">
        <f>3600+1300</f>
        <v>4900</v>
      </c>
      <c r="Q27" s="74">
        <f>1730+930</f>
        <v>2660</v>
      </c>
      <c r="R27" s="74">
        <f>2015+650</f>
        <v>2665</v>
      </c>
      <c r="S27" s="74">
        <f>3100+1050</f>
        <v>4150</v>
      </c>
      <c r="T27" s="70">
        <f>2700+1000</f>
        <v>3700</v>
      </c>
      <c r="U27" s="127">
        <f t="shared" si="9"/>
        <v>25335</v>
      </c>
      <c r="V27" s="70">
        <f>1405+1000</f>
        <v>2405</v>
      </c>
      <c r="W27" s="70">
        <v>2205</v>
      </c>
      <c r="X27" s="70">
        <v>3750</v>
      </c>
      <c r="Y27" s="70">
        <f>1320+3720</f>
        <v>5040</v>
      </c>
      <c r="Z27" s="70">
        <v>4870</v>
      </c>
      <c r="AA27" s="70">
        <v>2835</v>
      </c>
      <c r="AB27" s="70">
        <f>2980+1250</f>
        <v>4230</v>
      </c>
      <c r="AC27" s="127">
        <f t="shared" si="10"/>
        <v>23530</v>
      </c>
      <c r="AD27" s="70">
        <f>3280+1190</f>
        <v>4470</v>
      </c>
      <c r="AE27" s="70">
        <v>2620</v>
      </c>
      <c r="AF27" s="70">
        <v>2195</v>
      </c>
      <c r="AG27" s="70">
        <v>4750</v>
      </c>
      <c r="AH27" s="70">
        <v>5010</v>
      </c>
      <c r="AI27" s="70">
        <v>2410</v>
      </c>
      <c r="AJ27" s="70">
        <v>2075</v>
      </c>
      <c r="AK27" s="127">
        <f t="shared" si="11"/>
        <v>5700</v>
      </c>
      <c r="AL27" s="70">
        <f>690+1190</f>
        <v>1880</v>
      </c>
      <c r="AM27" s="70">
        <v>3820</v>
      </c>
      <c r="AN27" s="70"/>
    </row>
    <row r="28" spans="1:40" x14ac:dyDescent="0.3">
      <c r="A28" s="97" t="s">
        <v>4</v>
      </c>
      <c r="B28" s="97"/>
      <c r="C28" s="97"/>
      <c r="D28" s="110">
        <f>SUM(D26:D27)</f>
        <v>108900</v>
      </c>
      <c r="E28" s="110">
        <f t="shared" ref="E28:AN28" si="12">SUM(E26:E27)</f>
        <v>28465</v>
      </c>
      <c r="F28" s="131">
        <f t="shared" si="12"/>
        <v>3450</v>
      </c>
      <c r="G28" s="131">
        <f t="shared" si="12"/>
        <v>4840</v>
      </c>
      <c r="H28" s="131">
        <f t="shared" si="12"/>
        <v>3950</v>
      </c>
      <c r="I28" s="131">
        <f t="shared" si="12"/>
        <v>3415</v>
      </c>
      <c r="J28" s="131">
        <f t="shared" si="12"/>
        <v>6850</v>
      </c>
      <c r="K28" s="131">
        <v>250</v>
      </c>
      <c r="L28" s="131">
        <f t="shared" si="12"/>
        <v>2270</v>
      </c>
      <c r="M28" s="110">
        <f t="shared" si="12"/>
        <v>25870</v>
      </c>
      <c r="N28" s="131">
        <f t="shared" si="12"/>
        <v>2815</v>
      </c>
      <c r="O28" s="131">
        <f t="shared" si="12"/>
        <v>4980</v>
      </c>
      <c r="P28" s="131">
        <f t="shared" si="12"/>
        <v>4900</v>
      </c>
      <c r="Q28" s="131">
        <f t="shared" si="12"/>
        <v>2660</v>
      </c>
      <c r="R28" s="131">
        <f t="shared" si="12"/>
        <v>2665</v>
      </c>
      <c r="S28" s="131">
        <f t="shared" si="12"/>
        <v>4150</v>
      </c>
      <c r="T28" s="131">
        <f t="shared" si="12"/>
        <v>3700</v>
      </c>
      <c r="U28" s="110">
        <f t="shared" si="12"/>
        <v>25335</v>
      </c>
      <c r="V28" s="131">
        <f t="shared" si="12"/>
        <v>2405</v>
      </c>
      <c r="W28" s="131">
        <f t="shared" si="12"/>
        <v>2205</v>
      </c>
      <c r="X28" s="131">
        <f t="shared" si="12"/>
        <v>3750</v>
      </c>
      <c r="Y28" s="131">
        <f t="shared" si="12"/>
        <v>5040</v>
      </c>
      <c r="Z28" s="131">
        <f t="shared" si="12"/>
        <v>4870</v>
      </c>
      <c r="AA28" s="131">
        <f t="shared" si="12"/>
        <v>2835</v>
      </c>
      <c r="AB28" s="131">
        <f t="shared" si="12"/>
        <v>4230</v>
      </c>
      <c r="AC28" s="110">
        <f t="shared" si="12"/>
        <v>23530</v>
      </c>
      <c r="AD28" s="131">
        <f t="shared" si="12"/>
        <v>4470</v>
      </c>
      <c r="AE28" s="131">
        <f t="shared" si="12"/>
        <v>2620</v>
      </c>
      <c r="AF28" s="131">
        <f t="shared" si="12"/>
        <v>2195</v>
      </c>
      <c r="AG28" s="131">
        <f t="shared" si="12"/>
        <v>4750</v>
      </c>
      <c r="AH28" s="131">
        <f t="shared" si="12"/>
        <v>5010</v>
      </c>
      <c r="AI28" s="131">
        <f t="shared" si="12"/>
        <v>2410</v>
      </c>
      <c r="AJ28" s="131">
        <f t="shared" si="12"/>
        <v>2075</v>
      </c>
      <c r="AK28" s="110">
        <f t="shared" si="12"/>
        <v>5700</v>
      </c>
      <c r="AL28" s="131">
        <f t="shared" si="12"/>
        <v>1880</v>
      </c>
      <c r="AM28" s="131">
        <f t="shared" si="12"/>
        <v>3820</v>
      </c>
      <c r="AN28" s="131">
        <f t="shared" si="12"/>
        <v>0</v>
      </c>
    </row>
    <row r="29" spans="1:40" x14ac:dyDescent="0.3">
      <c r="A29" s="113" t="s">
        <v>87</v>
      </c>
      <c r="B29" s="113"/>
      <c r="C29" s="113"/>
      <c r="D29" s="114">
        <f>SUM(D28,D25)</f>
        <v>425817</v>
      </c>
      <c r="E29" s="132">
        <f t="shared" ref="E29:AN29" si="13">SUM(E25,E28)</f>
        <v>102184</v>
      </c>
      <c r="F29" s="132">
        <f t="shared" si="13"/>
        <v>13779</v>
      </c>
      <c r="G29" s="134">
        <f t="shared" si="13"/>
        <v>14650</v>
      </c>
      <c r="H29" s="134">
        <f t="shared" si="13"/>
        <v>17630</v>
      </c>
      <c r="I29" s="134">
        <f t="shared" si="13"/>
        <v>15088</v>
      </c>
      <c r="J29" s="134">
        <f t="shared" si="13"/>
        <v>22445</v>
      </c>
      <c r="K29" s="134">
        <f t="shared" si="13"/>
        <v>9250</v>
      </c>
      <c r="L29" s="134">
        <f t="shared" si="13"/>
        <v>5902</v>
      </c>
      <c r="M29" s="132">
        <f t="shared" si="13"/>
        <v>96375</v>
      </c>
      <c r="N29" s="134">
        <f t="shared" si="13"/>
        <v>10994</v>
      </c>
      <c r="O29" s="134">
        <f t="shared" si="13"/>
        <v>17255</v>
      </c>
      <c r="P29" s="134">
        <f t="shared" si="13"/>
        <v>16351</v>
      </c>
      <c r="Q29" s="134">
        <f t="shared" si="13"/>
        <v>9651</v>
      </c>
      <c r="R29" s="134">
        <f t="shared" si="13"/>
        <v>13053</v>
      </c>
      <c r="S29" s="134">
        <f t="shared" si="13"/>
        <v>15694</v>
      </c>
      <c r="T29" s="134">
        <f t="shared" si="13"/>
        <v>13377</v>
      </c>
      <c r="U29" s="132">
        <f t="shared" si="13"/>
        <v>99137</v>
      </c>
      <c r="V29" s="134">
        <f t="shared" si="13"/>
        <v>10198</v>
      </c>
      <c r="W29" s="134">
        <f t="shared" si="13"/>
        <v>16428</v>
      </c>
      <c r="X29" s="134">
        <f t="shared" si="13"/>
        <v>16574</v>
      </c>
      <c r="Y29" s="134">
        <f t="shared" si="13"/>
        <v>12267</v>
      </c>
      <c r="Z29" s="134">
        <f t="shared" si="13"/>
        <v>13373</v>
      </c>
      <c r="AA29" s="134">
        <f t="shared" si="13"/>
        <v>12853</v>
      </c>
      <c r="AB29" s="134">
        <f t="shared" si="13"/>
        <v>17444</v>
      </c>
      <c r="AC29" s="132">
        <f t="shared" si="13"/>
        <v>102938</v>
      </c>
      <c r="AD29" s="134">
        <f t="shared" si="13"/>
        <v>18551</v>
      </c>
      <c r="AE29" s="134">
        <f t="shared" si="13"/>
        <v>10829</v>
      </c>
      <c r="AF29" s="134">
        <f t="shared" si="13"/>
        <v>13012</v>
      </c>
      <c r="AG29" s="134">
        <f t="shared" si="13"/>
        <v>19584</v>
      </c>
      <c r="AH29" s="134">
        <f t="shared" si="13"/>
        <v>19773</v>
      </c>
      <c r="AI29" s="134">
        <f t="shared" si="13"/>
        <v>10019</v>
      </c>
      <c r="AJ29" s="134">
        <f t="shared" si="13"/>
        <v>11170</v>
      </c>
      <c r="AK29" s="132">
        <f t="shared" si="13"/>
        <v>25183</v>
      </c>
      <c r="AL29" s="134">
        <f t="shared" si="13"/>
        <v>8703</v>
      </c>
      <c r="AM29" s="134">
        <f t="shared" si="13"/>
        <v>16480</v>
      </c>
      <c r="AN29" s="134">
        <f t="shared" si="13"/>
        <v>0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이용객(1월)</vt:lpstr>
      <vt:lpstr>이용객(2월)</vt:lpstr>
      <vt:lpstr>이용객(3월)</vt:lpstr>
      <vt:lpstr>이용객(4월)</vt:lpstr>
      <vt:lpstr>이용객(5월)</vt:lpstr>
      <vt:lpstr>이용객(6월)</vt:lpstr>
      <vt:lpstr>이용객(7월)</vt:lpstr>
      <vt:lpstr>이용객(8월)</vt:lpstr>
      <vt:lpstr>이용객(9월)</vt:lpstr>
      <vt:lpstr>이용객(10월)</vt:lpstr>
      <vt:lpstr>이용객(11월)</vt:lpstr>
      <vt:lpstr>이용객(12월)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Banpo</dc:creator>
  <cp:lastModifiedBy>user</cp:lastModifiedBy>
  <cp:revision>107</cp:revision>
  <cp:lastPrinted>2013-07-11T08:11:14Z</cp:lastPrinted>
  <dcterms:created xsi:type="dcterms:W3CDTF">2012-12-05T04:10:20Z</dcterms:created>
  <dcterms:modified xsi:type="dcterms:W3CDTF">2023-06-12T05:32:24Z</dcterms:modified>
</cp:coreProperties>
</file>