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☆이용객통계\공공데이터\한강공원 월별 이용객 현황 자료 요청\월별 이용객\2022년\"/>
    </mc:Choice>
  </mc:AlternateContent>
  <bookViews>
    <workbookView xWindow="0" yWindow="0" windowWidth="24000" windowHeight="9300" tabRatio="500" activeTab="11"/>
  </bookViews>
  <sheets>
    <sheet name="1월" sheetId="1" r:id="rId1"/>
    <sheet name="2월" sheetId="2" r:id="rId2"/>
    <sheet name="3월" sheetId="3" r:id="rId3"/>
    <sheet name="4월" sheetId="14" r:id="rId4"/>
    <sheet name="5월" sheetId="15" r:id="rId5"/>
    <sheet name="6월" sheetId="16" r:id="rId6"/>
    <sheet name="7월" sheetId="13" r:id="rId7"/>
    <sheet name="8월" sheetId="17" r:id="rId8"/>
    <sheet name="9월" sheetId="18" r:id="rId9"/>
    <sheet name="10월" sheetId="19" r:id="rId10"/>
    <sheet name="11월" sheetId="20" r:id="rId11"/>
    <sheet name="12월" sheetId="21" r:id="rId12"/>
  </sheets>
  <calcPr calcId="152511"/>
</workbook>
</file>

<file path=xl/calcChain.xml><?xml version="1.0" encoding="utf-8"?>
<calcChain xmlns="http://schemas.openxmlformats.org/spreadsheetml/2006/main">
  <c r="AG23" i="21" l="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B23" i="21" s="1"/>
  <c r="I23" i="21"/>
  <c r="H23" i="21"/>
  <c r="G23" i="21"/>
  <c r="F23" i="21"/>
  <c r="E23" i="21"/>
  <c r="D23" i="21"/>
  <c r="C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AF23" i="20" l="1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B23" i="20" s="1"/>
  <c r="G23" i="20"/>
  <c r="F23" i="20"/>
  <c r="E23" i="20"/>
  <c r="D23" i="20"/>
  <c r="C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D6" i="19" l="1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E24" i="19"/>
  <c r="D24" i="19" s="1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D6" i="18"/>
  <c r="D7" i="18"/>
  <c r="D8" i="18"/>
  <c r="D9" i="18"/>
  <c r="D10" i="18"/>
  <c r="D11" i="18"/>
  <c r="D12" i="18"/>
  <c r="D13" i="18"/>
  <c r="D24" i="18" s="1"/>
  <c r="D14" i="18"/>
  <c r="D15" i="18"/>
  <c r="D16" i="18"/>
  <c r="D17" i="18"/>
  <c r="D18" i="18"/>
  <c r="D19" i="18"/>
  <c r="D20" i="18"/>
  <c r="D21" i="18"/>
  <c r="D22" i="18"/>
  <c r="D23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D6" i="17"/>
  <c r="D24" i="17" s="1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D6" i="16"/>
  <c r="D7" i="16"/>
  <c r="D8" i="16"/>
  <c r="D9" i="16"/>
  <c r="D10" i="16"/>
  <c r="D11" i="16"/>
  <c r="D12" i="16"/>
  <c r="D13" i="16"/>
  <c r="D24" i="16" s="1"/>
  <c r="D14" i="16"/>
  <c r="D15" i="16"/>
  <c r="D16" i="16"/>
  <c r="D17" i="16"/>
  <c r="D18" i="16"/>
  <c r="D19" i="16"/>
  <c r="D20" i="16"/>
  <c r="D21" i="16"/>
  <c r="D22" i="16"/>
  <c r="D23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24" i="15" s="1"/>
  <c r="D7" i="15"/>
  <c r="D6" i="15"/>
  <c r="D6" i="14"/>
  <c r="D7" i="14"/>
  <c r="D8" i="14"/>
  <c r="AH9" i="14"/>
  <c r="D9" i="14" s="1"/>
  <c r="D10" i="14"/>
  <c r="D11" i="14"/>
  <c r="D12" i="14"/>
  <c r="D13" i="14"/>
  <c r="D14" i="14"/>
  <c r="D15" i="14"/>
  <c r="D16" i="14"/>
  <c r="D17" i="14"/>
  <c r="Z18" i="14"/>
  <c r="D18" i="14" s="1"/>
  <c r="AG18" i="14"/>
  <c r="AH18" i="14"/>
  <c r="D19" i="14"/>
  <c r="AH20" i="14"/>
  <c r="AH24" i="14" s="1"/>
  <c r="D21" i="14"/>
  <c r="D22" i="14"/>
  <c r="D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D24" i="1"/>
  <c r="D18" i="1"/>
  <c r="D6" i="13"/>
  <c r="D7" i="13"/>
  <c r="D8" i="13"/>
  <c r="D9" i="13"/>
  <c r="D10" i="13"/>
  <c r="D11" i="13"/>
  <c r="D12" i="13"/>
  <c r="D24" i="13" s="1"/>
  <c r="D13" i="13"/>
  <c r="D14" i="13"/>
  <c r="D15" i="13"/>
  <c r="D16" i="13"/>
  <c r="D17" i="13"/>
  <c r="D18" i="13"/>
  <c r="D19" i="13"/>
  <c r="D20" i="13"/>
  <c r="D21" i="13"/>
  <c r="D22" i="13"/>
  <c r="D23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D20" i="14" l="1"/>
  <c r="D24" i="14" s="1"/>
  <c r="AH24" i="3"/>
  <c r="AG24" i="3"/>
  <c r="AF24" i="3"/>
  <c r="AE24" i="3"/>
  <c r="AD24" i="3"/>
  <c r="AB24" i="3"/>
  <c r="AA24" i="3"/>
  <c r="Z24" i="3"/>
  <c r="Y24" i="3"/>
  <c r="X24" i="3"/>
  <c r="W24" i="3"/>
  <c r="V24" i="3"/>
  <c r="S24" i="3"/>
  <c r="R24" i="3"/>
  <c r="N24" i="3"/>
  <c r="J24" i="3"/>
  <c r="F24" i="3"/>
  <c r="D23" i="3"/>
  <c r="D22" i="3"/>
  <c r="O21" i="3"/>
  <c r="D21" i="3"/>
  <c r="D20" i="3"/>
  <c r="AI19" i="3"/>
  <c r="AC19" i="3"/>
  <c r="V19" i="3"/>
  <c r="U19" i="3"/>
  <c r="T19" i="3"/>
  <c r="S19" i="3"/>
  <c r="Q19" i="3"/>
  <c r="P19" i="3"/>
  <c r="O19" i="3"/>
  <c r="O24" i="3" s="1"/>
  <c r="N19" i="3"/>
  <c r="M19" i="3"/>
  <c r="L19" i="3"/>
  <c r="K19" i="3"/>
  <c r="K24" i="3" s="1"/>
  <c r="J19" i="3"/>
  <c r="H19" i="3"/>
  <c r="G19" i="3"/>
  <c r="G24" i="3" s="1"/>
  <c r="AI18" i="3"/>
  <c r="AI24" i="3" s="1"/>
  <c r="AC18" i="3"/>
  <c r="V18" i="3"/>
  <c r="U18" i="3"/>
  <c r="T18" i="3"/>
  <c r="T24" i="3" s="1"/>
  <c r="S18" i="3"/>
  <c r="R18" i="3"/>
  <c r="Q18" i="3"/>
  <c r="P18" i="3"/>
  <c r="P24" i="3" s="1"/>
  <c r="O18" i="3"/>
  <c r="N18" i="3"/>
  <c r="M18" i="3"/>
  <c r="L18" i="3"/>
  <c r="L24" i="3" s="1"/>
  <c r="K18" i="3"/>
  <c r="J18" i="3"/>
  <c r="I18" i="3"/>
  <c r="H18" i="3"/>
  <c r="H24" i="3" s="1"/>
  <c r="G18" i="3"/>
  <c r="F18" i="3"/>
  <c r="E18" i="3"/>
  <c r="D18" i="3"/>
  <c r="D17" i="3"/>
  <c r="D16" i="3"/>
  <c r="D15" i="3"/>
  <c r="D14" i="3"/>
  <c r="D13" i="3"/>
  <c r="D12" i="3"/>
  <c r="D11" i="3"/>
  <c r="D10" i="3"/>
  <c r="AI9" i="3"/>
  <c r="AC9" i="3"/>
  <c r="AC24" i="3" s="1"/>
  <c r="V9" i="3"/>
  <c r="U9" i="3"/>
  <c r="U24" i="3" s="1"/>
  <c r="T9" i="3"/>
  <c r="S9" i="3"/>
  <c r="R9" i="3"/>
  <c r="Q9" i="3"/>
  <c r="Q24" i="3" s="1"/>
  <c r="P9" i="3"/>
  <c r="O9" i="3"/>
  <c r="N9" i="3"/>
  <c r="M9" i="3"/>
  <c r="M24" i="3" s="1"/>
  <c r="L9" i="3"/>
  <c r="K9" i="3"/>
  <c r="J9" i="3"/>
  <c r="I9" i="3"/>
  <c r="I24" i="3" s="1"/>
  <c r="H9" i="3"/>
  <c r="G9" i="3"/>
  <c r="F9" i="3"/>
  <c r="E9" i="3"/>
  <c r="E24" i="3" s="1"/>
  <c r="D8" i="3"/>
  <c r="D7" i="3"/>
  <c r="D6" i="3"/>
  <c r="AI24" i="2"/>
  <c r="AH24" i="2"/>
  <c r="AG24" i="2"/>
  <c r="P24" i="2"/>
  <c r="O24" i="2"/>
  <c r="M24" i="2"/>
  <c r="L24" i="2"/>
  <c r="J24" i="2"/>
  <c r="I24" i="2"/>
  <c r="H24" i="2"/>
  <c r="G24" i="2"/>
  <c r="F24" i="2"/>
  <c r="E24" i="2"/>
  <c r="D23" i="2"/>
  <c r="D22" i="2"/>
  <c r="D21" i="2"/>
  <c r="D20" i="2"/>
  <c r="AB19" i="2"/>
  <c r="X19" i="2"/>
  <c r="P19" i="2"/>
  <c r="AF18" i="2"/>
  <c r="AF24" i="2" s="1"/>
  <c r="AE18" i="2"/>
  <c r="AD18" i="2"/>
  <c r="AC18" i="2"/>
  <c r="AB18" i="2"/>
  <c r="AB24" i="2" s="1"/>
  <c r="AA18" i="2"/>
  <c r="Z18" i="2"/>
  <c r="Y18" i="2"/>
  <c r="X18" i="2"/>
  <c r="X24" i="2" s="1"/>
  <c r="W18" i="2"/>
  <c r="V18" i="2"/>
  <c r="U18" i="2"/>
  <c r="T18" i="2"/>
  <c r="T24" i="2" s="1"/>
  <c r="S18" i="2"/>
  <c r="R18" i="2"/>
  <c r="Q18" i="2"/>
  <c r="N18" i="2"/>
  <c r="N24" i="2" s="1"/>
  <c r="M18" i="2"/>
  <c r="L18" i="2"/>
  <c r="K18" i="2"/>
  <c r="K24" i="2" s="1"/>
  <c r="D18" i="2"/>
  <c r="D17" i="2"/>
  <c r="D16" i="2"/>
  <c r="D15" i="2"/>
  <c r="D14" i="2"/>
  <c r="D13" i="2"/>
  <c r="D12" i="2"/>
  <c r="D11" i="2"/>
  <c r="D10" i="2"/>
  <c r="AF9" i="2"/>
  <c r="AE9" i="2"/>
  <c r="AE24" i="2" s="1"/>
  <c r="AD9" i="2"/>
  <c r="AD24" i="2" s="1"/>
  <c r="AC9" i="2"/>
  <c r="AC24" i="2" s="1"/>
  <c r="AB9" i="2"/>
  <c r="AA9" i="2"/>
  <c r="AA24" i="2" s="1"/>
  <c r="Z9" i="2"/>
  <c r="Z24" i="2" s="1"/>
  <c r="Y9" i="2"/>
  <c r="Y24" i="2" s="1"/>
  <c r="X9" i="2"/>
  <c r="W9" i="2"/>
  <c r="W24" i="2" s="1"/>
  <c r="V9" i="2"/>
  <c r="V24" i="2" s="1"/>
  <c r="U9" i="2"/>
  <c r="U24" i="2" s="1"/>
  <c r="T9" i="2"/>
  <c r="S9" i="2"/>
  <c r="S24" i="2" s="1"/>
  <c r="R9" i="2"/>
  <c r="R24" i="2" s="1"/>
  <c r="Q9" i="2"/>
  <c r="Q24" i="2" s="1"/>
  <c r="N9" i="2"/>
  <c r="M9" i="2"/>
  <c r="L9" i="2"/>
  <c r="D9" i="2"/>
  <c r="D8" i="2"/>
  <c r="D7" i="2"/>
  <c r="D6" i="2"/>
  <c r="AI24" i="1"/>
  <c r="AH24" i="1"/>
  <c r="AG24" i="1"/>
  <c r="AE24" i="1"/>
  <c r="AD24" i="1"/>
  <c r="AC24" i="1"/>
  <c r="AB24" i="1"/>
  <c r="AA24" i="1"/>
  <c r="Y24" i="1"/>
  <c r="X24" i="1"/>
  <c r="W24" i="1"/>
  <c r="U24" i="1"/>
  <c r="T24" i="1"/>
  <c r="S24" i="1"/>
  <c r="P24" i="1"/>
  <c r="O24" i="1"/>
  <c r="N24" i="1"/>
  <c r="M24" i="1"/>
  <c r="L24" i="1"/>
  <c r="H24" i="1"/>
  <c r="G24" i="1"/>
  <c r="F24" i="1"/>
  <c r="E24" i="1"/>
  <c r="D23" i="1"/>
  <c r="D22" i="1"/>
  <c r="D21" i="1"/>
  <c r="D20" i="1"/>
  <c r="AF19" i="1"/>
  <c r="AF18" i="1"/>
  <c r="AB18" i="1"/>
  <c r="AA18" i="1"/>
  <c r="Z18" i="1"/>
  <c r="V18" i="1"/>
  <c r="R18" i="1"/>
  <c r="Q18" i="1"/>
  <c r="K18" i="1"/>
  <c r="J18" i="1"/>
  <c r="I18" i="1"/>
  <c r="D17" i="1"/>
  <c r="D16" i="1"/>
  <c r="D15" i="1"/>
  <c r="D14" i="1"/>
  <c r="D13" i="1"/>
  <c r="D12" i="1"/>
  <c r="D11" i="1"/>
  <c r="D10" i="1"/>
  <c r="AF9" i="1"/>
  <c r="AF24" i="1" s="1"/>
  <c r="AB9" i="1"/>
  <c r="AA9" i="1"/>
  <c r="Z9" i="1"/>
  <c r="Z24" i="1" s="1"/>
  <c r="V9" i="1"/>
  <c r="V24" i="1" s="1"/>
  <c r="R9" i="1"/>
  <c r="R24" i="1" s="1"/>
  <c r="Q9" i="1"/>
  <c r="Q24" i="1" s="1"/>
  <c r="K9" i="1"/>
  <c r="J9" i="1"/>
  <c r="J24" i="1" s="1"/>
  <c r="I9" i="1"/>
  <c r="I24" i="1" s="1"/>
  <c r="D8" i="1"/>
  <c r="D7" i="1"/>
  <c r="D6" i="1"/>
  <c r="D24" i="2" l="1"/>
  <c r="D24" i="3"/>
  <c r="K24" i="1"/>
  <c r="D9" i="1"/>
  <c r="D9" i="3"/>
</calcChain>
</file>

<file path=xl/sharedStrings.xml><?xml version="1.0" encoding="utf-8"?>
<sst xmlns="http://schemas.openxmlformats.org/spreadsheetml/2006/main" count="1025" uniqueCount="114">
  <si>
    <t>맑음,흐림</t>
  </si>
  <si>
    <t>흐림,비온뒤갬</t>
  </si>
  <si>
    <t>흐림,비 뒤 맑음</t>
  </si>
  <si>
    <t>강추위(-9도)</t>
  </si>
  <si>
    <t>맑음 (22:30눈)</t>
  </si>
  <si>
    <t>일반이용자(저녁)</t>
  </si>
  <si>
    <t>수영장(물놀이장)</t>
  </si>
  <si>
    <t>주요행사(한강몽땅)</t>
  </si>
  <si>
    <t>한파주의보(-11도)</t>
  </si>
  <si>
    <t>일반이용자(낮)</t>
  </si>
  <si>
    <t>일반이용자(아침)</t>
  </si>
  <si>
    <t>개인형 이동장치(pm)</t>
  </si>
  <si>
    <t>개인형 이동장치(PM)</t>
  </si>
  <si>
    <t>pm(개인용 이동장치)</t>
  </si>
  <si>
    <t>맑음,강풍</t>
  </si>
  <si>
    <t>전망쉼터</t>
  </si>
  <si>
    <t>맑음 뒤 흐림</t>
  </si>
  <si>
    <t>미세먼지 나쁨</t>
  </si>
  <si>
    <t>자전거공원</t>
  </si>
  <si>
    <t>낮에 눈</t>
  </si>
  <si>
    <t>맑음(강풍)</t>
  </si>
  <si>
    <t>흐림/비</t>
  </si>
  <si>
    <t>수상시설</t>
  </si>
  <si>
    <t>흐림, 비</t>
  </si>
  <si>
    <t>흐림/눈</t>
  </si>
  <si>
    <t>맑음(한파)</t>
  </si>
  <si>
    <t>흐린 뒤 비</t>
  </si>
  <si>
    <t>눈/흐림</t>
  </si>
  <si>
    <t>운동시설</t>
  </si>
  <si>
    <t>눈썰매장</t>
  </si>
  <si>
    <t>비온뒤 갬</t>
  </si>
  <si>
    <t>양화한강공원 10월 이용자 현황</t>
  </si>
  <si>
    <t>양화한강공원 1월 이용자 현황</t>
  </si>
  <si>
    <t>양화한강공원 4월 이용자 현황</t>
  </si>
  <si>
    <t>양화한강공원 6월 이용자 현황</t>
  </si>
  <si>
    <t>양화한강공원 2월 이용자 현황</t>
  </si>
  <si>
    <t>양화한강공원 5월 이용자 현황</t>
  </si>
  <si>
    <t>양화한강공원 9월 이용자 현황</t>
  </si>
  <si>
    <t>양화한강공원 3월 이용자 현황</t>
  </si>
  <si>
    <t>마라톤</t>
  </si>
  <si>
    <t>수</t>
  </si>
  <si>
    <t xml:space="preserve"> 맑음</t>
  </si>
  <si>
    <t>야구장</t>
  </si>
  <si>
    <t>인라인</t>
  </si>
  <si>
    <t>금</t>
  </si>
  <si>
    <t>비</t>
  </si>
  <si>
    <t>월</t>
  </si>
  <si>
    <t>일자</t>
  </si>
  <si>
    <t>눈</t>
  </si>
  <si>
    <t>요일</t>
  </si>
  <si>
    <t>날씨</t>
  </si>
  <si>
    <t>목</t>
  </si>
  <si>
    <t>롤러장</t>
  </si>
  <si>
    <t>토</t>
  </si>
  <si>
    <t>자전거</t>
  </si>
  <si>
    <t>일</t>
  </si>
  <si>
    <t>흐림</t>
  </si>
  <si>
    <t>양화</t>
  </si>
  <si>
    <t>화</t>
  </si>
  <si>
    <t>외국인</t>
  </si>
  <si>
    <t>PM</t>
  </si>
  <si>
    <t>맑음</t>
  </si>
  <si>
    <t>캠핑장</t>
  </si>
  <si>
    <t>합계</t>
  </si>
  <si>
    <t>월계</t>
  </si>
  <si>
    <t>흐림비</t>
  </si>
  <si>
    <t>흐림·</t>
  </si>
  <si>
    <t>흐리</t>
  </si>
  <si>
    <t xml:space="preserve">토 </t>
  </si>
  <si>
    <t>akfr</t>
  </si>
  <si>
    <t>비.흐림</t>
  </si>
  <si>
    <t>흐림.비</t>
  </si>
  <si>
    <t xml:space="preserve">금 </t>
  </si>
  <si>
    <t xml:space="preserve">일 </t>
  </si>
  <si>
    <t>비온후 갬</t>
  </si>
  <si>
    <t>흐림,비</t>
  </si>
  <si>
    <t>비.</t>
  </si>
  <si>
    <t>흐림·비</t>
  </si>
  <si>
    <t>흐림 비</t>
  </si>
  <si>
    <t>비 흐림</t>
  </si>
  <si>
    <t>바람/비</t>
  </si>
  <si>
    <t>약간흐림</t>
  </si>
  <si>
    <t>일     자</t>
    <phoneticPr fontId="10" type="noConversion"/>
  </si>
  <si>
    <t>요     일</t>
    <phoneticPr fontId="10" type="noConversion"/>
  </si>
  <si>
    <t>화</t>
    <phoneticPr fontId="10" type="noConversion"/>
  </si>
  <si>
    <t>수</t>
    <phoneticPr fontId="10" type="noConversion"/>
  </si>
  <si>
    <t>목</t>
    <phoneticPr fontId="10" type="noConversion"/>
  </si>
  <si>
    <t>날 씨</t>
    <phoneticPr fontId="10" type="noConversion"/>
  </si>
  <si>
    <t>맑음</t>
    <phoneticPr fontId="10" type="noConversion"/>
  </si>
  <si>
    <t>흐림</t>
    <phoneticPr fontId="10" type="noConversion"/>
  </si>
  <si>
    <t>비</t>
    <phoneticPr fontId="10" type="noConversion"/>
  </si>
  <si>
    <t>흐림</t>
    <phoneticPr fontId="10" type="noConversion"/>
  </si>
  <si>
    <t>비(한때)</t>
    <phoneticPr fontId="10" type="noConversion"/>
  </si>
  <si>
    <t>맑음</t>
    <phoneticPr fontId="10" type="noConversion"/>
  </si>
  <si>
    <t>요     일</t>
    <phoneticPr fontId="10" type="noConversion"/>
  </si>
  <si>
    <t>목</t>
    <phoneticPr fontId="10" type="noConversion"/>
  </si>
  <si>
    <t>금</t>
    <phoneticPr fontId="10" type="noConversion"/>
  </si>
  <si>
    <t>토</t>
    <phoneticPr fontId="10" type="noConversion"/>
  </si>
  <si>
    <t>일</t>
    <phoneticPr fontId="10" type="noConversion"/>
  </si>
  <si>
    <t>수</t>
    <phoneticPr fontId="10" type="noConversion"/>
  </si>
  <si>
    <t>날 씨</t>
    <phoneticPr fontId="10" type="noConversion"/>
  </si>
  <si>
    <t>맑음</t>
    <phoneticPr fontId="10" type="noConversion"/>
  </si>
  <si>
    <t>흐림/비</t>
    <phoneticPr fontId="10" type="noConversion"/>
  </si>
  <si>
    <t>맑음</t>
    <phoneticPr fontId="10" type="noConversion"/>
  </si>
  <si>
    <t>맑음</t>
    <phoneticPr fontId="10" type="noConversion"/>
  </si>
  <si>
    <t>흐림</t>
    <phoneticPr fontId="10" type="noConversion"/>
  </si>
  <si>
    <t>흐림/비</t>
    <phoneticPr fontId="10" type="noConversion"/>
  </si>
  <si>
    <t>눈/비</t>
    <phoneticPr fontId="10" type="noConversion"/>
  </si>
  <si>
    <t>눈/흐림</t>
    <phoneticPr fontId="10" type="noConversion"/>
  </si>
  <si>
    <t>약한눈</t>
    <phoneticPr fontId="10" type="noConversion"/>
  </si>
  <si>
    <t>맑음</t>
    <phoneticPr fontId="10" type="noConversion"/>
  </si>
  <si>
    <t>맑음</t>
    <phoneticPr fontId="10" type="noConversion"/>
  </si>
  <si>
    <t>눈/흐림</t>
    <phoneticPr fontId="10" type="noConversion"/>
  </si>
  <si>
    <t>흐림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</si>
</sst>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19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14"/>
      <color rgb="FF000000"/>
      <name val="한컴 윤고딕 760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8" tint="-0.249977111117893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0070C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 applyNumberFormat="1">
      <alignment vertical="center"/>
    </xf>
    <xf numFmtId="0" fontId="3" fillId="0" borderId="0" xfId="1" applyNumberFormat="1" applyFont="1">
      <alignment vertical="center"/>
    </xf>
    <xf numFmtId="0" fontId="4" fillId="0" borderId="1" xfId="1" applyNumberFormat="1" applyFont="1" applyBorder="1" applyAlignment="1">
      <alignment vertical="center"/>
    </xf>
    <xf numFmtId="0" fontId="9" fillId="0" borderId="1" xfId="1" applyNumberFormat="1" applyBorder="1" applyAlignment="1">
      <alignment vertical="center"/>
    </xf>
    <xf numFmtId="0" fontId="5" fillId="2" borderId="2" xfId="1" applyNumberFormat="1" applyFont="1" applyFill="1" applyBorder="1" applyAlignment="1">
      <alignment horizontal="center" vertical="center" wrapText="1"/>
    </xf>
    <xf numFmtId="0" fontId="5" fillId="0" borderId="2" xfId="1" applyNumberFormat="1" applyFont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0" fillId="0" borderId="2" xfId="1" applyNumberFormat="1" applyFont="1" applyBorder="1" applyAlignment="1">
      <alignment horizontal="center" vertical="center" wrapText="1"/>
    </xf>
    <xf numFmtId="0" fontId="6" fillId="0" borderId="2" xfId="1" applyNumberFormat="1" applyFon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center" wrapText="1"/>
    </xf>
    <xf numFmtId="176" fontId="5" fillId="2" borderId="2" xfId="1" applyNumberFormat="1" applyFont="1" applyFill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/>
    </xf>
    <xf numFmtId="176" fontId="0" fillId="0" borderId="2" xfId="1" applyNumberFormat="1" applyFont="1" applyBorder="1" applyAlignment="1">
      <alignment horizontal="center" vertical="center" wrapText="1"/>
    </xf>
    <xf numFmtId="176" fontId="9" fillId="0" borderId="2" xfId="1" applyNumberFormat="1" applyBorder="1" applyAlignment="1">
      <alignment horizontal="center" vertical="center" wrapText="1"/>
    </xf>
    <xf numFmtId="0" fontId="8" fillId="0" borderId="2" xfId="1" applyNumberFormat="1" applyFont="1" applyBorder="1" applyAlignment="1">
      <alignment horizontal="center" vertical="center" wrapText="1"/>
    </xf>
    <xf numFmtId="176" fontId="0" fillId="0" borderId="2" xfId="1" applyNumberFormat="1" applyFont="1" applyBorder="1" applyAlignment="1">
      <alignment horizontal="center" vertical="center"/>
    </xf>
    <xf numFmtId="176" fontId="9" fillId="0" borderId="4" xfId="1" applyNumberFormat="1" applyBorder="1" applyAlignment="1">
      <alignment horizontal="center" vertical="center"/>
    </xf>
    <xf numFmtId="176" fontId="9" fillId="0" borderId="2" xfId="1" applyNumberFormat="1" applyBorder="1">
      <alignment vertical="center"/>
    </xf>
    <xf numFmtId="176" fontId="0" fillId="0" borderId="2" xfId="1" applyNumberFormat="1" applyFont="1" applyBorder="1">
      <alignment vertical="center"/>
    </xf>
    <xf numFmtId="176" fontId="0" fillId="0" borderId="2" xfId="1" applyNumberFormat="1" applyFont="1" applyBorder="1" applyAlignment="1">
      <alignment vertical="center" wrapText="1"/>
    </xf>
    <xf numFmtId="176" fontId="9" fillId="0" borderId="4" xfId="1" applyNumberFormat="1" applyBorder="1">
      <alignment vertical="center"/>
    </xf>
    <xf numFmtId="176" fontId="2" fillId="0" borderId="2" xfId="1" applyNumberFormat="1" applyFont="1" applyBorder="1" applyAlignment="1">
      <alignment horizontal="center" vertical="center"/>
    </xf>
    <xf numFmtId="176" fontId="2" fillId="0" borderId="2" xfId="1" applyNumberFormat="1" applyFont="1" applyBorder="1" applyAlignment="1">
      <alignment horizontal="center" vertical="center" wrapText="1"/>
    </xf>
    <xf numFmtId="0" fontId="1" fillId="0" borderId="0" xfId="2">
      <alignment vertical="center"/>
    </xf>
    <xf numFmtId="176" fontId="5" fillId="2" borderId="2" xfId="3" applyNumberFormat="1" applyFont="1" applyFill="1" applyBorder="1" applyAlignment="1">
      <alignment horizontal="center" vertical="center" wrapText="1"/>
    </xf>
    <xf numFmtId="0" fontId="5" fillId="2" borderId="2" xfId="3" applyNumberFormat="1" applyFont="1" applyFill="1" applyBorder="1" applyAlignment="1">
      <alignment horizontal="center" vertical="center" wrapText="1"/>
    </xf>
    <xf numFmtId="176" fontId="1" fillId="0" borderId="2" xfId="3" applyNumberFormat="1" applyBorder="1" applyAlignment="1">
      <alignment horizontal="center" vertical="center"/>
    </xf>
    <xf numFmtId="176" fontId="1" fillId="0" borderId="2" xfId="3" applyNumberFormat="1" applyBorder="1" applyAlignment="1">
      <alignment horizontal="center" vertical="center" wrapText="1"/>
    </xf>
    <xf numFmtId="176" fontId="0" fillId="0" borderId="2" xfId="3" applyNumberFormat="1" applyFont="1" applyBorder="1" applyAlignment="1">
      <alignment horizontal="center" vertical="center"/>
    </xf>
    <xf numFmtId="176" fontId="0" fillId="0" borderId="2" xfId="3" applyNumberFormat="1" applyFont="1" applyBorder="1" applyAlignment="1">
      <alignment horizontal="center" vertical="center" wrapText="1"/>
    </xf>
    <xf numFmtId="0" fontId="5" fillId="0" borderId="2" xfId="3" applyNumberFormat="1" applyFont="1" applyBorder="1" applyAlignment="1">
      <alignment horizontal="center" vertical="center" wrapText="1"/>
    </xf>
    <xf numFmtId="0" fontId="7" fillId="0" borderId="2" xfId="3" applyNumberFormat="1" applyFont="1" applyBorder="1" applyAlignment="1">
      <alignment horizontal="center" vertical="center" wrapText="1"/>
    </xf>
    <xf numFmtId="176" fontId="1" fillId="0" borderId="2" xfId="3" applyNumberFormat="1" applyBorder="1">
      <alignment vertical="center"/>
    </xf>
    <xf numFmtId="176" fontId="0" fillId="0" borderId="2" xfId="3" applyNumberFormat="1" applyFont="1" applyBorder="1" applyAlignment="1">
      <alignment vertical="center" wrapText="1"/>
    </xf>
    <xf numFmtId="176" fontId="0" fillId="0" borderId="2" xfId="3" applyNumberFormat="1" applyFont="1" applyBorder="1">
      <alignment vertical="center"/>
    </xf>
    <xf numFmtId="176" fontId="1" fillId="0" borderId="4" xfId="3" applyNumberFormat="1" applyBorder="1" applyAlignment="1">
      <alignment horizontal="center" vertical="center"/>
    </xf>
    <xf numFmtId="176" fontId="1" fillId="0" borderId="4" xfId="3" applyNumberFormat="1" applyBorder="1">
      <alignment vertical="center"/>
    </xf>
    <xf numFmtId="0" fontId="0" fillId="0" borderId="2" xfId="3" applyNumberFormat="1" applyFont="1" applyBorder="1" applyAlignment="1">
      <alignment horizontal="center" vertical="center" wrapText="1"/>
    </xf>
    <xf numFmtId="0" fontId="5" fillId="2" borderId="3" xfId="3" applyNumberFormat="1" applyFont="1" applyFill="1" applyBorder="1" applyAlignment="1">
      <alignment horizontal="center" vertical="center" wrapText="1"/>
    </xf>
    <xf numFmtId="0" fontId="1" fillId="0" borderId="1" xfId="3" applyNumberFormat="1" applyBorder="1" applyAlignment="1">
      <alignment vertical="center"/>
    </xf>
    <xf numFmtId="0" fontId="4" fillId="0" borderId="1" xfId="3" applyNumberFormat="1" applyFont="1" applyBorder="1" applyAlignment="1">
      <alignment vertical="center"/>
    </xf>
    <xf numFmtId="0" fontId="3" fillId="0" borderId="0" xfId="3" applyNumberFormat="1" applyFont="1">
      <alignment vertical="center"/>
    </xf>
    <xf numFmtId="0" fontId="1" fillId="0" borderId="0" xfId="3" applyNumberFormat="1">
      <alignment vertical="center"/>
    </xf>
    <xf numFmtId="0" fontId="8" fillId="0" borderId="2" xfId="3" applyNumberFormat="1" applyFont="1" applyBorder="1" applyAlignment="1">
      <alignment horizontal="center" vertical="center" wrapText="1"/>
    </xf>
    <xf numFmtId="0" fontId="1" fillId="0" borderId="0" xfId="3">
      <alignment vertical="center"/>
    </xf>
    <xf numFmtId="0" fontId="11" fillId="2" borderId="2" xfId="3" applyNumberFormat="1" applyFont="1" applyFill="1" applyBorder="1" applyAlignment="1">
      <alignment horizontal="center" vertical="center" wrapText="1"/>
    </xf>
    <xf numFmtId="0" fontId="11" fillId="0" borderId="2" xfId="3" applyNumberFormat="1" applyFont="1" applyBorder="1" applyAlignment="1">
      <alignment horizontal="center" vertical="center" wrapText="1"/>
    </xf>
    <xf numFmtId="0" fontId="12" fillId="0" borderId="2" xfId="3" applyNumberFormat="1" applyFont="1" applyBorder="1" applyAlignment="1">
      <alignment horizontal="center" vertical="center" wrapText="1"/>
    </xf>
    <xf numFmtId="0" fontId="13" fillId="0" borderId="2" xfId="3" applyNumberFormat="1" applyFont="1" applyBorder="1" applyAlignment="1">
      <alignment horizontal="center" vertical="center" wrapText="1"/>
    </xf>
    <xf numFmtId="0" fontId="13" fillId="2" borderId="2" xfId="3" applyNumberFormat="1" applyFont="1" applyFill="1" applyBorder="1" applyAlignment="1">
      <alignment horizontal="center" vertical="center" wrapText="1"/>
    </xf>
    <xf numFmtId="0" fontId="1" fillId="0" borderId="0" xfId="3" applyNumberFormat="1" applyFont="1" applyFill="1" applyBorder="1" applyAlignment="1" applyProtection="1">
      <alignment horizontal="center" vertical="center"/>
    </xf>
    <xf numFmtId="0" fontId="0" fillId="0" borderId="0" xfId="3" applyNumberFormat="1" applyFont="1" applyFill="1" applyBorder="1" applyAlignment="1" applyProtection="1">
      <alignment horizontal="center" vertical="center"/>
    </xf>
    <xf numFmtId="0" fontId="14" fillId="0" borderId="0" xfId="3" applyNumberFormat="1" applyFont="1" applyFill="1" applyBorder="1" applyAlignment="1" applyProtection="1">
      <alignment horizontal="center" vertical="center"/>
    </xf>
    <xf numFmtId="0" fontId="5" fillId="2" borderId="5" xfId="3" applyNumberFormat="1" applyFont="1" applyFill="1" applyBorder="1" applyAlignment="1">
      <alignment horizontal="center" vertical="center" wrapText="1"/>
    </xf>
    <xf numFmtId="0" fontId="15" fillId="2" borderId="2" xfId="3" applyNumberFormat="1" applyFont="1" applyFill="1" applyBorder="1" applyAlignment="1">
      <alignment horizontal="center" vertical="center" wrapText="1"/>
    </xf>
    <xf numFmtId="0" fontId="16" fillId="2" borderId="2" xfId="3" applyNumberFormat="1" applyFont="1" applyFill="1" applyBorder="1" applyAlignment="1">
      <alignment horizontal="center" vertical="center" wrapText="1"/>
    </xf>
    <xf numFmtId="0" fontId="15" fillId="0" borderId="2" xfId="3" applyNumberFormat="1" applyFont="1" applyBorder="1" applyAlignment="1">
      <alignment horizontal="center" vertical="center" wrapText="1"/>
    </xf>
    <xf numFmtId="0" fontId="16" fillId="0" borderId="2" xfId="3" applyNumberFormat="1" applyFont="1" applyBorder="1" applyAlignment="1">
      <alignment horizontal="center" vertical="center" wrapText="1"/>
    </xf>
    <xf numFmtId="0" fontId="5" fillId="0" borderId="5" xfId="3" applyNumberFormat="1" applyFont="1" applyBorder="1" applyAlignment="1">
      <alignment horizontal="left" vertical="center" wrapText="1"/>
    </xf>
    <xf numFmtId="0" fontId="1" fillId="0" borderId="2" xfId="3" applyNumberFormat="1" applyFont="1" applyBorder="1" applyAlignment="1">
      <alignment horizontal="center" vertical="center" wrapText="1"/>
    </xf>
    <xf numFmtId="0" fontId="17" fillId="0" borderId="2" xfId="3" applyNumberFormat="1" applyFont="1" applyBorder="1" applyAlignment="1">
      <alignment horizontal="center" vertical="center" wrapText="1"/>
    </xf>
    <xf numFmtId="0" fontId="7" fillId="0" borderId="5" xfId="3" applyNumberFormat="1" applyFont="1" applyBorder="1" applyAlignment="1">
      <alignment horizontal="left" vertical="center" wrapText="1"/>
    </xf>
    <xf numFmtId="0" fontId="18" fillId="2" borderId="2" xfId="3" applyNumberFormat="1" applyFont="1" applyFill="1" applyBorder="1" applyAlignment="1">
      <alignment horizontal="center" vertical="center" wrapText="1"/>
    </xf>
    <xf numFmtId="0" fontId="18" fillId="0" borderId="2" xfId="3" applyNumberFormat="1" applyFont="1" applyBorder="1" applyAlignment="1">
      <alignment horizontal="center" vertical="center" wrapText="1"/>
    </xf>
  </cellXfs>
  <cellStyles count="4">
    <cellStyle name="표준" xfId="0" builtinId="0"/>
    <cellStyle name="표준 2" xfId="1"/>
    <cellStyle name="표준 2 2" xfId="3"/>
    <cellStyle name="표준 3" xfId="2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1343024</xdr:colOff>
      <xdr:row>0</xdr:row>
      <xdr:rowOff>57149</xdr:rowOff>
    </xdr:from>
    <xdr:to>
      <xdr:col>7</xdr:col>
      <xdr:colOff>38099</xdr:colOff>
      <xdr:row>0</xdr:row>
      <xdr:rowOff>619124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A9B784FC-C6D7-48DD-8574-01D42761C769}"/>
            </a:ext>
          </a:extLst>
        </xdr:cNvPr>
        <xdr:cNvSpPr txBox="1"/>
      </xdr:nvSpPr>
      <xdr:spPr>
        <a:xfrm>
          <a:off x="1343024" y="57149"/>
          <a:ext cx="4276725" cy="561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/>
            <a:t>양화한강공원 </a:t>
          </a:r>
          <a:r>
            <a:rPr lang="en-US" altLang="ko-KR" sz="2000" b="1"/>
            <a:t>11</a:t>
          </a:r>
          <a:r>
            <a:rPr lang="ko-KR" altLang="en-US" sz="2000" b="1"/>
            <a:t>월 이용자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1343024</xdr:colOff>
      <xdr:row>0</xdr:row>
      <xdr:rowOff>57149</xdr:rowOff>
    </xdr:from>
    <xdr:to>
      <xdr:col>7</xdr:col>
      <xdr:colOff>38099</xdr:colOff>
      <xdr:row>0</xdr:row>
      <xdr:rowOff>619124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A9B784FC-C6D7-48DD-8574-01D42761C769}"/>
            </a:ext>
          </a:extLst>
        </xdr:cNvPr>
        <xdr:cNvSpPr txBox="1"/>
      </xdr:nvSpPr>
      <xdr:spPr>
        <a:xfrm>
          <a:off x="1343024" y="57149"/>
          <a:ext cx="4276725" cy="561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/>
            <a:t>양화한강공원 </a:t>
          </a:r>
          <a:r>
            <a:rPr lang="en-US" altLang="ko-KR" sz="2000" b="1"/>
            <a:t>12</a:t>
          </a:r>
          <a:r>
            <a:rPr lang="ko-KR" altLang="en-US" sz="2000" b="1"/>
            <a:t>월 이용자 현황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24"/>
  <sheetViews>
    <sheetView zoomScale="85" zoomScaleNormal="85" zoomScaleSheetLayoutView="75" workbookViewId="0">
      <selection activeCell="D28" sqref="D28"/>
    </sheetView>
  </sheetViews>
  <sheetFormatPr defaultColWidth="9" defaultRowHeight="16.5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>
      <c r="B1" s="1"/>
      <c r="C1" s="1"/>
      <c r="F1" s="1" t="s">
        <v>32</v>
      </c>
    </row>
    <row r="2" spans="1:35" ht="26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>
      <c r="A3" s="4" t="s">
        <v>47</v>
      </c>
      <c r="B3" s="4"/>
      <c r="C3" s="4"/>
      <c r="D3" s="4" t="s">
        <v>64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>
      <c r="A4" s="4" t="s">
        <v>49</v>
      </c>
      <c r="B4" s="4"/>
      <c r="C4" s="4"/>
      <c r="D4" s="4"/>
      <c r="E4" s="5" t="s">
        <v>53</v>
      </c>
      <c r="F4" s="5" t="s">
        <v>55</v>
      </c>
      <c r="G4" s="5" t="s">
        <v>46</v>
      </c>
      <c r="H4" s="5" t="s">
        <v>58</v>
      </c>
      <c r="I4" s="5" t="s">
        <v>40</v>
      </c>
      <c r="J4" s="5" t="s">
        <v>51</v>
      </c>
      <c r="K4" s="5" t="s">
        <v>44</v>
      </c>
      <c r="L4" s="5" t="s">
        <v>53</v>
      </c>
      <c r="M4" s="5" t="s">
        <v>55</v>
      </c>
      <c r="N4" s="5" t="s">
        <v>46</v>
      </c>
      <c r="O4" s="5" t="s">
        <v>58</v>
      </c>
      <c r="P4" s="5" t="s">
        <v>40</v>
      </c>
      <c r="Q4" s="5" t="s">
        <v>51</v>
      </c>
      <c r="R4" s="5" t="s">
        <v>44</v>
      </c>
      <c r="S4" s="5" t="s">
        <v>53</v>
      </c>
      <c r="T4" s="5" t="s">
        <v>55</v>
      </c>
      <c r="U4" s="5" t="s">
        <v>46</v>
      </c>
      <c r="V4" s="5" t="s">
        <v>58</v>
      </c>
      <c r="W4" s="5" t="s">
        <v>40</v>
      </c>
      <c r="X4" s="5" t="s">
        <v>51</v>
      </c>
      <c r="Y4" s="5" t="s">
        <v>44</v>
      </c>
      <c r="Z4" s="5" t="s">
        <v>53</v>
      </c>
      <c r="AA4" s="5" t="s">
        <v>55</v>
      </c>
      <c r="AB4" s="5" t="s">
        <v>46</v>
      </c>
      <c r="AC4" s="5" t="s">
        <v>58</v>
      </c>
      <c r="AD4" s="5" t="s">
        <v>40</v>
      </c>
      <c r="AE4" s="5" t="s">
        <v>51</v>
      </c>
      <c r="AF4" s="5" t="s">
        <v>44</v>
      </c>
      <c r="AG4" s="5" t="s">
        <v>53</v>
      </c>
      <c r="AH4" s="5" t="s">
        <v>55</v>
      </c>
      <c r="AI4" s="5" t="s">
        <v>46</v>
      </c>
    </row>
    <row r="5" spans="1:35" ht="30" customHeight="1">
      <c r="A5" s="5" t="s">
        <v>57</v>
      </c>
      <c r="B5" s="5" t="s">
        <v>50</v>
      </c>
      <c r="C5" s="5"/>
      <c r="D5" s="6"/>
      <c r="E5" s="7" t="s">
        <v>56</v>
      </c>
      <c r="F5" s="7" t="s">
        <v>25</v>
      </c>
      <c r="G5" s="7" t="s">
        <v>56</v>
      </c>
      <c r="H5" s="7" t="s">
        <v>61</v>
      </c>
      <c r="I5" s="7" t="s">
        <v>61</v>
      </c>
      <c r="J5" s="8" t="s">
        <v>61</v>
      </c>
      <c r="K5" s="7" t="s">
        <v>61</v>
      </c>
      <c r="L5" s="7" t="s">
        <v>56</v>
      </c>
      <c r="M5" s="7" t="s">
        <v>56</v>
      </c>
      <c r="N5" s="7" t="s">
        <v>4</v>
      </c>
      <c r="O5" s="7" t="s">
        <v>8</v>
      </c>
      <c r="P5" s="7" t="s">
        <v>61</v>
      </c>
      <c r="Q5" s="7" t="s">
        <v>61</v>
      </c>
      <c r="R5" s="7" t="s">
        <v>61</v>
      </c>
      <c r="S5" s="9" t="s">
        <v>17</v>
      </c>
      <c r="T5" s="7" t="s">
        <v>61</v>
      </c>
      <c r="U5" s="7" t="s">
        <v>48</v>
      </c>
      <c r="V5" s="7" t="s">
        <v>61</v>
      </c>
      <c r="W5" s="9" t="s">
        <v>19</v>
      </c>
      <c r="X5" s="7" t="s">
        <v>61</v>
      </c>
      <c r="Y5" s="7" t="s">
        <v>61</v>
      </c>
      <c r="Z5" s="7" t="s">
        <v>61</v>
      </c>
      <c r="AA5" s="7" t="s">
        <v>61</v>
      </c>
      <c r="AB5" s="7" t="s">
        <v>61</v>
      </c>
      <c r="AC5" s="7" t="s">
        <v>61</v>
      </c>
      <c r="AD5" s="7" t="s">
        <v>61</v>
      </c>
      <c r="AE5" s="7" t="s">
        <v>61</v>
      </c>
      <c r="AF5" s="7" t="s">
        <v>61</v>
      </c>
      <c r="AG5" s="8" t="s">
        <v>61</v>
      </c>
      <c r="AH5" s="8" t="s">
        <v>61</v>
      </c>
      <c r="AI5" s="8" t="s">
        <v>61</v>
      </c>
    </row>
    <row r="6" spans="1:35" ht="21.6" customHeight="1">
      <c r="A6" s="5"/>
      <c r="B6" s="10" t="s">
        <v>10</v>
      </c>
      <c r="C6" s="5"/>
      <c r="D6" s="11">
        <f t="shared" ref="D6:D18" si="0">SUM(E6:AI6)</f>
        <v>0</v>
      </c>
      <c r="E6" s="12"/>
      <c r="F6" s="12"/>
      <c r="G6" s="12"/>
      <c r="H6" s="12"/>
      <c r="I6" s="13"/>
      <c r="J6" s="14"/>
      <c r="K6" s="12"/>
      <c r="L6" s="12"/>
      <c r="M6" s="12"/>
      <c r="N6" s="12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H6" s="12"/>
      <c r="AI6" s="12"/>
    </row>
    <row r="7" spans="1:35" ht="21.6" customHeight="1">
      <c r="A7" s="5"/>
      <c r="B7" s="5" t="s">
        <v>9</v>
      </c>
      <c r="C7" s="5"/>
      <c r="D7" s="11">
        <f t="shared" si="0"/>
        <v>31144</v>
      </c>
      <c r="E7" s="12">
        <v>662</v>
      </c>
      <c r="F7" s="12">
        <v>510</v>
      </c>
      <c r="G7" s="12">
        <v>1248</v>
      </c>
      <c r="H7" s="12">
        <v>1260</v>
      </c>
      <c r="I7" s="13">
        <v>1062</v>
      </c>
      <c r="J7" s="14">
        <v>630</v>
      </c>
      <c r="K7" s="12">
        <v>770</v>
      </c>
      <c r="L7" s="12">
        <v>1150</v>
      </c>
      <c r="M7" s="12">
        <v>1415</v>
      </c>
      <c r="N7" s="12">
        <v>530</v>
      </c>
      <c r="O7" s="15">
        <v>720</v>
      </c>
      <c r="P7" s="15">
        <v>1150</v>
      </c>
      <c r="Q7" s="15">
        <v>578</v>
      </c>
      <c r="R7" s="12">
        <v>490</v>
      </c>
      <c r="S7" s="12">
        <v>1020</v>
      </c>
      <c r="T7" s="12">
        <v>1550</v>
      </c>
      <c r="U7" s="12">
        <v>857</v>
      </c>
      <c r="V7" s="15">
        <v>650</v>
      </c>
      <c r="W7" s="12">
        <v>670</v>
      </c>
      <c r="X7" s="12">
        <v>1150</v>
      </c>
      <c r="Y7" s="12">
        <v>1058</v>
      </c>
      <c r="Z7" s="12">
        <v>953</v>
      </c>
      <c r="AA7" s="12">
        <v>1830</v>
      </c>
      <c r="AB7" s="12">
        <v>1150</v>
      </c>
      <c r="AC7" s="12">
        <v>1022</v>
      </c>
      <c r="AD7" s="12">
        <v>895</v>
      </c>
      <c r="AE7" s="12">
        <v>1494</v>
      </c>
      <c r="AF7" s="12">
        <v>1150</v>
      </c>
      <c r="AG7" s="12">
        <v>1020</v>
      </c>
      <c r="AH7" s="12">
        <v>1300</v>
      </c>
      <c r="AI7" s="12">
        <v>1200</v>
      </c>
    </row>
    <row r="8" spans="1:35" ht="21.6" customHeight="1">
      <c r="A8" s="5"/>
      <c r="B8" s="10" t="s">
        <v>5</v>
      </c>
      <c r="C8" s="5"/>
      <c r="D8" s="11">
        <f t="shared" si="0"/>
        <v>36724</v>
      </c>
      <c r="E8" s="12">
        <v>1300</v>
      </c>
      <c r="F8" s="12">
        <v>1248</v>
      </c>
      <c r="G8" s="12">
        <v>875</v>
      </c>
      <c r="H8" s="12">
        <v>1280</v>
      </c>
      <c r="I8" s="13">
        <v>1200</v>
      </c>
      <c r="J8" s="14">
        <v>1274</v>
      </c>
      <c r="K8" s="12">
        <v>1175</v>
      </c>
      <c r="L8" s="12">
        <v>1280</v>
      </c>
      <c r="M8" s="12">
        <v>1350</v>
      </c>
      <c r="N8" s="12">
        <v>1144</v>
      </c>
      <c r="O8" s="15">
        <v>805</v>
      </c>
      <c r="P8" s="15">
        <v>1170</v>
      </c>
      <c r="Q8" s="15">
        <v>1150</v>
      </c>
      <c r="R8" s="12">
        <v>1418</v>
      </c>
      <c r="S8" s="12">
        <v>846</v>
      </c>
      <c r="T8" s="12">
        <v>1250</v>
      </c>
      <c r="U8" s="12">
        <v>1000</v>
      </c>
      <c r="V8" s="15">
        <v>1165</v>
      </c>
      <c r="W8" s="12">
        <v>753</v>
      </c>
      <c r="X8" s="12">
        <v>1130</v>
      </c>
      <c r="Y8" s="12">
        <v>1010</v>
      </c>
      <c r="Z8" s="12">
        <v>1925</v>
      </c>
      <c r="AA8" s="12">
        <v>1153</v>
      </c>
      <c r="AB8" s="12">
        <v>1180</v>
      </c>
      <c r="AC8" s="12">
        <v>1100</v>
      </c>
      <c r="AD8" s="12">
        <v>1205</v>
      </c>
      <c r="AE8" s="12">
        <v>1256</v>
      </c>
      <c r="AF8" s="12">
        <v>1650</v>
      </c>
      <c r="AG8" s="12">
        <v>1550</v>
      </c>
      <c r="AH8" s="12">
        <v>1119</v>
      </c>
      <c r="AI8" s="12">
        <v>763</v>
      </c>
    </row>
    <row r="9" spans="1:35" ht="21.6" customHeight="1">
      <c r="A9" s="5"/>
      <c r="B9" s="5" t="s">
        <v>28</v>
      </c>
      <c r="C9" s="5"/>
      <c r="D9" s="11">
        <f t="shared" si="0"/>
        <v>18192</v>
      </c>
      <c r="E9" s="12">
        <v>330</v>
      </c>
      <c r="F9" s="12">
        <v>556</v>
      </c>
      <c r="G9" s="12">
        <v>516</v>
      </c>
      <c r="H9" s="12">
        <v>515</v>
      </c>
      <c r="I9" s="13">
        <f>275+330</f>
        <v>605</v>
      </c>
      <c r="J9" s="14">
        <f>464+75</f>
        <v>539</v>
      </c>
      <c r="K9" s="12">
        <f>87+230</f>
        <v>317</v>
      </c>
      <c r="L9" s="12">
        <v>835</v>
      </c>
      <c r="M9" s="12">
        <v>844</v>
      </c>
      <c r="N9" s="12">
        <v>480</v>
      </c>
      <c r="O9" s="15">
        <v>249</v>
      </c>
      <c r="P9" s="15">
        <v>795</v>
      </c>
      <c r="Q9" s="15">
        <f>275+236</f>
        <v>511</v>
      </c>
      <c r="R9" s="12">
        <f>433+64</f>
        <v>497</v>
      </c>
      <c r="S9" s="12">
        <v>324</v>
      </c>
      <c r="T9" s="12">
        <v>815</v>
      </c>
      <c r="U9" s="12">
        <v>511</v>
      </c>
      <c r="V9" s="15">
        <f>429+67</f>
        <v>496</v>
      </c>
      <c r="W9" s="12">
        <v>96</v>
      </c>
      <c r="X9" s="12">
        <v>795</v>
      </c>
      <c r="Y9" s="12">
        <v>631</v>
      </c>
      <c r="Z9" s="12">
        <f>712+201</f>
        <v>913</v>
      </c>
      <c r="AA9" s="12">
        <f>61+400</f>
        <v>461</v>
      </c>
      <c r="AB9" s="12">
        <f>185+650</f>
        <v>835</v>
      </c>
      <c r="AC9" s="12">
        <v>682</v>
      </c>
      <c r="AD9" s="12">
        <v>680</v>
      </c>
      <c r="AE9" s="12">
        <v>475</v>
      </c>
      <c r="AF9" s="12">
        <f>625+700</f>
        <v>1325</v>
      </c>
      <c r="AG9" s="12">
        <v>902</v>
      </c>
      <c r="AH9" s="12">
        <v>581</v>
      </c>
      <c r="AI9" s="12">
        <v>81</v>
      </c>
    </row>
    <row r="10" spans="1:35" ht="21.6" customHeight="1">
      <c r="A10" s="5"/>
      <c r="B10" s="5" t="s">
        <v>42</v>
      </c>
      <c r="C10" s="5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>
      <c r="A11" s="5"/>
      <c r="B11" s="5" t="s">
        <v>22</v>
      </c>
      <c r="C11" s="5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>
      <c r="A12" s="5"/>
      <c r="B12" s="5" t="s">
        <v>15</v>
      </c>
      <c r="C12" s="5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>
      <c r="A13" s="5"/>
      <c r="B13" s="5" t="s">
        <v>18</v>
      </c>
      <c r="C13" s="5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>
      <c r="A14" s="5"/>
      <c r="B14" s="16" t="s">
        <v>6</v>
      </c>
      <c r="C14" s="5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>
      <c r="A15" s="5"/>
      <c r="B15" s="5" t="s">
        <v>52</v>
      </c>
      <c r="C15" s="5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>
      <c r="A16" s="5"/>
      <c r="B16" s="5" t="s">
        <v>62</v>
      </c>
      <c r="C16" s="5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>
      <c r="A17" s="5"/>
      <c r="B17" s="5" t="s">
        <v>29</v>
      </c>
      <c r="C17" s="5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>
      <c r="A18" s="5"/>
      <c r="B18" s="5" t="s">
        <v>54</v>
      </c>
      <c r="C18" s="5"/>
      <c r="D18" s="11">
        <f>SUM(E18:AI18)</f>
        <v>51911</v>
      </c>
      <c r="E18" s="12">
        <v>1474</v>
      </c>
      <c r="F18" s="12">
        <v>937</v>
      </c>
      <c r="G18" s="12">
        <v>1032</v>
      </c>
      <c r="H18" s="12">
        <v>1760</v>
      </c>
      <c r="I18" s="13">
        <f>1130+531</f>
        <v>1661</v>
      </c>
      <c r="J18" s="14">
        <f>1250+492</f>
        <v>1742</v>
      </c>
      <c r="K18" s="12">
        <f>655+580</f>
        <v>1235</v>
      </c>
      <c r="L18" s="12">
        <v>1720</v>
      </c>
      <c r="M18" s="12">
        <v>2245</v>
      </c>
      <c r="N18" s="12">
        <v>1413</v>
      </c>
      <c r="O18" s="15">
        <v>890</v>
      </c>
      <c r="P18" s="15">
        <v>1550</v>
      </c>
      <c r="Q18" s="15">
        <f>1130+314</f>
        <v>1444</v>
      </c>
      <c r="R18" s="12">
        <f>550+672</f>
        <v>1222</v>
      </c>
      <c r="S18" s="12">
        <v>1107</v>
      </c>
      <c r="T18" s="12">
        <v>1990</v>
      </c>
      <c r="U18" s="12">
        <v>1263</v>
      </c>
      <c r="V18" s="15">
        <f>600+541</f>
        <v>1141</v>
      </c>
      <c r="W18" s="12">
        <v>567</v>
      </c>
      <c r="X18" s="12">
        <v>1550</v>
      </c>
      <c r="Y18" s="12">
        <v>1723</v>
      </c>
      <c r="Z18" s="12">
        <f>1223+635</f>
        <v>1858</v>
      </c>
      <c r="AA18" s="12">
        <f>2278+785</f>
        <v>3063</v>
      </c>
      <c r="AB18" s="12">
        <f>2210+1100</f>
        <v>3310</v>
      </c>
      <c r="AC18" s="12">
        <v>1814</v>
      </c>
      <c r="AD18" s="12">
        <v>1534</v>
      </c>
      <c r="AE18" s="12">
        <v>2910</v>
      </c>
      <c r="AF18" s="12">
        <f>1580+1050</f>
        <v>2630</v>
      </c>
      <c r="AG18" s="12">
        <v>2244</v>
      </c>
      <c r="AH18" s="12">
        <v>1593</v>
      </c>
      <c r="AI18" s="12">
        <v>1289</v>
      </c>
    </row>
    <row r="19" spans="1:35" ht="21.6" customHeight="1">
      <c r="A19" s="5"/>
      <c r="B19" s="5" t="s">
        <v>11</v>
      </c>
      <c r="C19" s="5"/>
      <c r="D19" s="11"/>
      <c r="E19" s="12">
        <v>43</v>
      </c>
      <c r="F19" s="12">
        <v>6</v>
      </c>
      <c r="G19" s="12">
        <v>76</v>
      </c>
      <c r="H19" s="12">
        <v>41</v>
      </c>
      <c r="I19" s="13">
        <v>43</v>
      </c>
      <c r="J19" s="14">
        <v>6</v>
      </c>
      <c r="K19" s="12">
        <v>93</v>
      </c>
      <c r="L19" s="12">
        <v>42</v>
      </c>
      <c r="M19" s="12">
        <v>43</v>
      </c>
      <c r="N19" s="12">
        <v>41</v>
      </c>
      <c r="O19" s="15">
        <v>71</v>
      </c>
      <c r="P19" s="15">
        <v>39</v>
      </c>
      <c r="Q19" s="15">
        <v>5</v>
      </c>
      <c r="R19" s="12">
        <v>41</v>
      </c>
      <c r="S19" s="12">
        <v>71</v>
      </c>
      <c r="T19" s="12">
        <v>40</v>
      </c>
      <c r="U19" s="12">
        <v>5</v>
      </c>
      <c r="V19" s="15">
        <v>53</v>
      </c>
      <c r="W19" s="12">
        <v>15</v>
      </c>
      <c r="X19" s="12">
        <v>37</v>
      </c>
      <c r="Y19" s="12">
        <v>10</v>
      </c>
      <c r="Z19" s="12">
        <v>5</v>
      </c>
      <c r="AA19" s="12">
        <v>13</v>
      </c>
      <c r="AB19" s="12">
        <v>39</v>
      </c>
      <c r="AC19" s="12">
        <v>35</v>
      </c>
      <c r="AD19" s="12">
        <v>4</v>
      </c>
      <c r="AE19" s="12">
        <v>67</v>
      </c>
      <c r="AF19" s="23">
        <f>35+45</f>
        <v>80</v>
      </c>
      <c r="AG19" s="12">
        <v>35</v>
      </c>
      <c r="AH19" s="12">
        <v>33</v>
      </c>
      <c r="AI19" s="12">
        <v>46</v>
      </c>
    </row>
    <row r="20" spans="1:35" ht="21.6" customHeight="1">
      <c r="A20" s="5"/>
      <c r="B20" s="5" t="s">
        <v>43</v>
      </c>
      <c r="C20" s="5"/>
      <c r="D20" s="11">
        <f>SUM(E20:AI20)</f>
        <v>0</v>
      </c>
      <c r="E20" s="12"/>
      <c r="F20" s="12"/>
      <c r="G20" s="12"/>
      <c r="H20" s="12"/>
      <c r="I20" s="13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>
      <c r="A21" s="5"/>
      <c r="B21" s="5" t="s">
        <v>39</v>
      </c>
      <c r="C21" s="5"/>
      <c r="D21" s="11">
        <f>SUM(E21:AI21)</f>
        <v>1818</v>
      </c>
      <c r="E21" s="12"/>
      <c r="F21" s="12"/>
      <c r="G21" s="12">
        <v>185</v>
      </c>
      <c r="H21" s="12"/>
      <c r="I21" s="13"/>
      <c r="J21" s="14"/>
      <c r="K21" s="12">
        <v>434</v>
      </c>
      <c r="L21" s="12"/>
      <c r="M21" s="12"/>
      <c r="N21" s="12"/>
      <c r="O21" s="15">
        <v>329</v>
      </c>
      <c r="P21" s="15"/>
      <c r="Q21" s="15"/>
      <c r="R21" s="12"/>
      <c r="S21" s="12">
        <v>241</v>
      </c>
      <c r="T21" s="12"/>
      <c r="U21" s="12"/>
      <c r="V21" s="15"/>
      <c r="W21" s="12">
        <v>109</v>
      </c>
      <c r="X21" s="12"/>
      <c r="Y21" s="12"/>
      <c r="Z21" s="12"/>
      <c r="AA21" s="12">
        <v>210</v>
      </c>
      <c r="AB21" s="12"/>
      <c r="AC21" s="12"/>
      <c r="AD21" s="12"/>
      <c r="AE21" s="12">
        <v>310</v>
      </c>
      <c r="AF21" s="12"/>
      <c r="AG21" s="12"/>
      <c r="AH21" s="12"/>
      <c r="AI21" s="12"/>
    </row>
    <row r="22" spans="1:35" ht="21.6" customHeight="1">
      <c r="A22" s="5"/>
      <c r="B22" s="5" t="s">
        <v>59</v>
      </c>
      <c r="C22" s="5"/>
      <c r="D22" s="11">
        <f>SUM(E22:AI22)</f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>
      <c r="A23" s="5"/>
      <c r="B23" s="16" t="s">
        <v>7</v>
      </c>
      <c r="C23" s="5"/>
      <c r="D23" s="11">
        <f>SUM(E23:AI23)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4" t="s">
        <v>63</v>
      </c>
      <c r="B24" s="4"/>
      <c r="C24" s="4"/>
      <c r="D24" s="11">
        <f>SUM(E24:AI24)</f>
        <v>140967</v>
      </c>
      <c r="E24" s="11">
        <f t="shared" ref="E24:AI24" si="1">SUM(E6:E23)</f>
        <v>3809</v>
      </c>
      <c r="F24" s="11">
        <f t="shared" si="1"/>
        <v>3257</v>
      </c>
      <c r="G24" s="11">
        <f t="shared" si="1"/>
        <v>3932</v>
      </c>
      <c r="H24" s="11">
        <f t="shared" si="1"/>
        <v>4856</v>
      </c>
      <c r="I24" s="11">
        <f t="shared" si="1"/>
        <v>4571</v>
      </c>
      <c r="J24" s="11">
        <f t="shared" si="1"/>
        <v>4191</v>
      </c>
      <c r="K24" s="11">
        <f t="shared" si="1"/>
        <v>4024</v>
      </c>
      <c r="L24" s="11">
        <f t="shared" si="1"/>
        <v>5027</v>
      </c>
      <c r="M24" s="11">
        <f t="shared" si="1"/>
        <v>5897</v>
      </c>
      <c r="N24" s="11">
        <f t="shared" si="1"/>
        <v>3608</v>
      </c>
      <c r="O24" s="11">
        <f t="shared" si="1"/>
        <v>3064</v>
      </c>
      <c r="P24" s="11">
        <f t="shared" si="1"/>
        <v>4704</v>
      </c>
      <c r="Q24" s="11">
        <f t="shared" si="1"/>
        <v>3688</v>
      </c>
      <c r="R24" s="11">
        <f t="shared" si="1"/>
        <v>3668</v>
      </c>
      <c r="S24" s="11">
        <f t="shared" si="1"/>
        <v>3609</v>
      </c>
      <c r="T24" s="11">
        <f t="shared" si="1"/>
        <v>5645</v>
      </c>
      <c r="U24" s="11">
        <f t="shared" si="1"/>
        <v>3636</v>
      </c>
      <c r="V24" s="11">
        <f t="shared" si="1"/>
        <v>3505</v>
      </c>
      <c r="W24" s="11">
        <f t="shared" si="1"/>
        <v>2210</v>
      </c>
      <c r="X24" s="11">
        <f t="shared" si="1"/>
        <v>4662</v>
      </c>
      <c r="Y24" s="11">
        <f t="shared" si="1"/>
        <v>4432</v>
      </c>
      <c r="Z24" s="11">
        <f t="shared" si="1"/>
        <v>5654</v>
      </c>
      <c r="AA24" s="11">
        <f t="shared" si="1"/>
        <v>6730</v>
      </c>
      <c r="AB24" s="11">
        <f t="shared" si="1"/>
        <v>6514</v>
      </c>
      <c r="AC24" s="11">
        <f t="shared" si="1"/>
        <v>4653</v>
      </c>
      <c r="AD24" s="11">
        <f t="shared" si="1"/>
        <v>4318</v>
      </c>
      <c r="AE24" s="11">
        <f t="shared" si="1"/>
        <v>6512</v>
      </c>
      <c r="AF24" s="11">
        <f t="shared" si="1"/>
        <v>6835</v>
      </c>
      <c r="AG24" s="11">
        <f t="shared" si="1"/>
        <v>5751</v>
      </c>
      <c r="AH24" s="11">
        <f t="shared" si="1"/>
        <v>4626</v>
      </c>
      <c r="AI24" s="11">
        <f t="shared" si="1"/>
        <v>3379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O14" sqref="O14"/>
    </sheetView>
  </sheetViews>
  <sheetFormatPr defaultRowHeight="16.5"/>
  <cols>
    <col min="1" max="16384" width="9" style="46"/>
  </cols>
  <sheetData>
    <row r="1" spans="1:35" ht="18.75">
      <c r="A1" s="54" t="s">
        <v>31</v>
      </c>
      <c r="B1" s="53"/>
      <c r="C1" s="53"/>
      <c r="D1" s="52"/>
      <c r="E1" s="52"/>
      <c r="F1" s="53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</row>
    <row r="2" spans="1:35" ht="26.25">
      <c r="A2" s="4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35">
      <c r="A3" s="27" t="s">
        <v>47</v>
      </c>
      <c r="B3" s="27"/>
      <c r="C3" s="27"/>
      <c r="D3" s="27" t="s">
        <v>64</v>
      </c>
      <c r="E3" s="51">
        <v>1</v>
      </c>
      <c r="F3" s="47">
        <v>2</v>
      </c>
      <c r="G3" s="47">
        <v>3</v>
      </c>
      <c r="H3" s="27">
        <v>4</v>
      </c>
      <c r="I3" s="27">
        <v>5</v>
      </c>
      <c r="J3" s="27">
        <v>6</v>
      </c>
      <c r="K3" s="27">
        <v>7</v>
      </c>
      <c r="L3" s="51">
        <v>8</v>
      </c>
      <c r="M3" s="47">
        <v>9</v>
      </c>
      <c r="N3" s="47">
        <v>10</v>
      </c>
      <c r="O3" s="27">
        <v>11</v>
      </c>
      <c r="P3" s="27">
        <v>12</v>
      </c>
      <c r="Q3" s="27">
        <v>13</v>
      </c>
      <c r="R3" s="27">
        <v>14</v>
      </c>
      <c r="S3" s="51">
        <v>15</v>
      </c>
      <c r="T3" s="4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51">
        <v>22</v>
      </c>
      <c r="AA3" s="4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51">
        <v>29</v>
      </c>
      <c r="AH3" s="47">
        <v>30</v>
      </c>
      <c r="AI3" s="27">
        <v>31</v>
      </c>
    </row>
    <row r="4" spans="1:35">
      <c r="A4" s="27" t="s">
        <v>49</v>
      </c>
      <c r="B4" s="27"/>
      <c r="C4" s="27"/>
      <c r="D4" s="27"/>
      <c r="E4" s="50" t="s">
        <v>53</v>
      </c>
      <c r="F4" s="48" t="s">
        <v>55</v>
      </c>
      <c r="G4" s="48" t="s">
        <v>46</v>
      </c>
      <c r="H4" s="32" t="s">
        <v>58</v>
      </c>
      <c r="I4" s="32" t="s">
        <v>40</v>
      </c>
      <c r="J4" s="32" t="s">
        <v>51</v>
      </c>
      <c r="K4" s="32" t="s">
        <v>44</v>
      </c>
      <c r="L4" s="50" t="s">
        <v>53</v>
      </c>
      <c r="M4" s="48" t="s">
        <v>55</v>
      </c>
      <c r="N4" s="48" t="s">
        <v>46</v>
      </c>
      <c r="O4" s="32" t="s">
        <v>58</v>
      </c>
      <c r="P4" s="32" t="s">
        <v>40</v>
      </c>
      <c r="Q4" s="32" t="s">
        <v>51</v>
      </c>
      <c r="R4" s="32" t="s">
        <v>44</v>
      </c>
      <c r="S4" s="50" t="s">
        <v>53</v>
      </c>
      <c r="T4" s="48" t="s">
        <v>55</v>
      </c>
      <c r="U4" s="32" t="s">
        <v>46</v>
      </c>
      <c r="V4" s="32" t="s">
        <v>58</v>
      </c>
      <c r="W4" s="32" t="s">
        <v>40</v>
      </c>
      <c r="X4" s="32" t="s">
        <v>51</v>
      </c>
      <c r="Y4" s="32" t="s">
        <v>44</v>
      </c>
      <c r="Z4" s="50" t="s">
        <v>53</v>
      </c>
      <c r="AA4" s="48" t="s">
        <v>55</v>
      </c>
      <c r="AB4" s="32" t="s">
        <v>46</v>
      </c>
      <c r="AC4" s="32" t="s">
        <v>58</v>
      </c>
      <c r="AD4" s="32" t="s">
        <v>40</v>
      </c>
      <c r="AE4" s="32" t="s">
        <v>51</v>
      </c>
      <c r="AF4" s="32" t="s">
        <v>44</v>
      </c>
      <c r="AG4" s="50" t="s">
        <v>53</v>
      </c>
      <c r="AH4" s="48" t="s">
        <v>55</v>
      </c>
      <c r="AI4" s="32" t="s">
        <v>46</v>
      </c>
    </row>
    <row r="5" spans="1:35">
      <c r="A5" s="32" t="s">
        <v>57</v>
      </c>
      <c r="B5" s="32" t="s">
        <v>50</v>
      </c>
      <c r="C5" s="32"/>
      <c r="D5" s="40"/>
      <c r="E5" s="39" t="s">
        <v>61</v>
      </c>
      <c r="F5" s="39" t="s">
        <v>45</v>
      </c>
      <c r="G5" s="39" t="s">
        <v>45</v>
      </c>
      <c r="H5" s="39" t="s">
        <v>81</v>
      </c>
      <c r="I5" s="39" t="s">
        <v>61</v>
      </c>
      <c r="J5" s="39" t="s">
        <v>61</v>
      </c>
      <c r="K5" s="39" t="s">
        <v>56</v>
      </c>
      <c r="L5" s="39" t="s">
        <v>61</v>
      </c>
      <c r="M5" s="39" t="s">
        <v>45</v>
      </c>
      <c r="N5" s="39" t="s">
        <v>45</v>
      </c>
      <c r="O5" s="39" t="s">
        <v>61</v>
      </c>
      <c r="P5" s="39" t="s">
        <v>61</v>
      </c>
      <c r="Q5" s="39" t="s">
        <v>61</v>
      </c>
      <c r="R5" s="39" t="s">
        <v>61</v>
      </c>
      <c r="S5" s="39" t="s">
        <v>61</v>
      </c>
      <c r="T5" s="39" t="s">
        <v>56</v>
      </c>
      <c r="U5" s="39" t="s">
        <v>61</v>
      </c>
      <c r="V5" s="39" t="s">
        <v>61</v>
      </c>
      <c r="W5" s="39" t="s">
        <v>61</v>
      </c>
      <c r="X5" s="39" t="s">
        <v>61</v>
      </c>
      <c r="Y5" s="39" t="s">
        <v>61</v>
      </c>
      <c r="Z5" s="39" t="s">
        <v>61</v>
      </c>
      <c r="AA5" s="39" t="s">
        <v>61</v>
      </c>
      <c r="AB5" s="39" t="s">
        <v>61</v>
      </c>
      <c r="AC5" s="39" t="s">
        <v>61</v>
      </c>
      <c r="AD5" s="39" t="s">
        <v>61</v>
      </c>
      <c r="AE5" s="39" t="s">
        <v>61</v>
      </c>
      <c r="AF5" s="39" t="s">
        <v>61</v>
      </c>
      <c r="AG5" s="39" t="s">
        <v>61</v>
      </c>
      <c r="AH5" s="39" t="s">
        <v>61</v>
      </c>
      <c r="AI5" s="39" t="s">
        <v>81</v>
      </c>
    </row>
    <row r="6" spans="1:35" ht="33">
      <c r="A6" s="32"/>
      <c r="B6" s="32" t="s">
        <v>10</v>
      </c>
      <c r="C6" s="32"/>
      <c r="D6" s="26">
        <f>SUM(E6:AI6)</f>
        <v>15200</v>
      </c>
      <c r="E6" s="34">
        <v>400</v>
      </c>
      <c r="F6" s="34">
        <v>400</v>
      </c>
      <c r="G6" s="34">
        <v>400</v>
      </c>
      <c r="H6" s="34">
        <v>400</v>
      </c>
      <c r="I6" s="34">
        <v>400</v>
      </c>
      <c r="J6" s="34">
        <v>400</v>
      </c>
      <c r="K6" s="34">
        <v>400</v>
      </c>
      <c r="L6" s="34">
        <v>600</v>
      </c>
      <c r="M6" s="34">
        <v>400</v>
      </c>
      <c r="N6" s="34">
        <v>400</v>
      </c>
      <c r="O6" s="34">
        <v>400</v>
      </c>
      <c r="P6" s="34">
        <v>400</v>
      </c>
      <c r="Q6" s="34">
        <v>500</v>
      </c>
      <c r="R6" s="34">
        <v>400</v>
      </c>
      <c r="S6" s="34">
        <v>400</v>
      </c>
      <c r="T6" s="34">
        <v>500</v>
      </c>
      <c r="U6" s="34">
        <v>500</v>
      </c>
      <c r="V6" s="34">
        <v>500</v>
      </c>
      <c r="W6" s="34">
        <v>500</v>
      </c>
      <c r="X6" s="34">
        <v>500</v>
      </c>
      <c r="Y6" s="34">
        <v>400</v>
      </c>
      <c r="Z6" s="34">
        <v>600</v>
      </c>
      <c r="AA6" s="34">
        <v>600</v>
      </c>
      <c r="AB6" s="34">
        <v>600</v>
      </c>
      <c r="AC6" s="34">
        <v>600</v>
      </c>
      <c r="AD6" s="34">
        <v>600</v>
      </c>
      <c r="AE6" s="34">
        <v>600</v>
      </c>
      <c r="AF6" s="34">
        <v>600</v>
      </c>
      <c r="AG6" s="34">
        <v>600</v>
      </c>
      <c r="AH6" s="34">
        <v>600</v>
      </c>
      <c r="AI6" s="34">
        <v>600</v>
      </c>
    </row>
    <row r="7" spans="1:35" ht="33">
      <c r="A7" s="32"/>
      <c r="B7" s="32" t="s">
        <v>9</v>
      </c>
      <c r="C7" s="32"/>
      <c r="D7" s="26">
        <f>SUM(E7:AI7)</f>
        <v>139660</v>
      </c>
      <c r="E7" s="34">
        <v>2000</v>
      </c>
      <c r="F7" s="34">
        <v>4500</v>
      </c>
      <c r="G7" s="34">
        <v>5000</v>
      </c>
      <c r="H7" s="34">
        <v>5000</v>
      </c>
      <c r="I7" s="36">
        <v>6500</v>
      </c>
      <c r="J7" s="35">
        <v>6400</v>
      </c>
      <c r="K7" s="34">
        <v>3200</v>
      </c>
      <c r="L7" s="34">
        <v>5000</v>
      </c>
      <c r="M7" s="34">
        <v>3700</v>
      </c>
      <c r="N7" s="34">
        <v>4100</v>
      </c>
      <c r="O7" s="29">
        <v>4400</v>
      </c>
      <c r="P7" s="29">
        <v>4200</v>
      </c>
      <c r="Q7" s="29">
        <v>4200</v>
      </c>
      <c r="R7" s="28">
        <v>3500</v>
      </c>
      <c r="S7" s="28">
        <v>5500</v>
      </c>
      <c r="T7" s="28">
        <v>5500</v>
      </c>
      <c r="U7" s="28">
        <v>5500</v>
      </c>
      <c r="V7" s="29">
        <v>5000</v>
      </c>
      <c r="W7" s="28">
        <v>5000</v>
      </c>
      <c r="X7" s="28">
        <v>3950</v>
      </c>
      <c r="Y7" s="28">
        <v>3810</v>
      </c>
      <c r="Z7" s="28">
        <v>4500</v>
      </c>
      <c r="AA7" s="28">
        <v>4500</v>
      </c>
      <c r="AB7" s="28">
        <v>5500</v>
      </c>
      <c r="AC7" s="28">
        <v>4300</v>
      </c>
      <c r="AD7" s="28">
        <v>2200</v>
      </c>
      <c r="AE7" s="28">
        <v>2700</v>
      </c>
      <c r="AF7" s="28">
        <v>4500</v>
      </c>
      <c r="AG7" s="28">
        <v>5500</v>
      </c>
      <c r="AH7" s="28">
        <v>5500</v>
      </c>
      <c r="AI7" s="28">
        <v>4500</v>
      </c>
    </row>
    <row r="8" spans="1:35" ht="33">
      <c r="A8" s="32"/>
      <c r="B8" s="32" t="s">
        <v>5</v>
      </c>
      <c r="C8" s="32"/>
      <c r="D8" s="26">
        <f>SUM(E8:AI8)</f>
        <v>349170</v>
      </c>
      <c r="E8" s="34">
        <v>3500</v>
      </c>
      <c r="F8" s="34">
        <v>3400</v>
      </c>
      <c r="G8" s="34">
        <v>4500</v>
      </c>
      <c r="H8" s="34">
        <v>2500</v>
      </c>
      <c r="I8" s="36">
        <v>4500</v>
      </c>
      <c r="J8" s="35">
        <v>2300</v>
      </c>
      <c r="K8" s="34">
        <v>3900</v>
      </c>
      <c r="L8" s="34">
        <v>230000</v>
      </c>
      <c r="M8" s="34">
        <v>4900</v>
      </c>
      <c r="N8" s="34">
        <v>5500</v>
      </c>
      <c r="O8" s="29">
        <v>5500</v>
      </c>
      <c r="P8" s="29">
        <v>3000</v>
      </c>
      <c r="Q8" s="29">
        <v>4300</v>
      </c>
      <c r="R8" s="29">
        <v>4300</v>
      </c>
      <c r="S8" s="28">
        <v>4400</v>
      </c>
      <c r="T8" s="28">
        <v>2800</v>
      </c>
      <c r="U8" s="28">
        <v>4200</v>
      </c>
      <c r="V8" s="29">
        <v>4000</v>
      </c>
      <c r="W8" s="28">
        <v>3400</v>
      </c>
      <c r="X8" s="28">
        <v>3460</v>
      </c>
      <c r="Y8" s="28">
        <v>3710</v>
      </c>
      <c r="Z8" s="28">
        <v>4000</v>
      </c>
      <c r="AA8" s="28">
        <v>4400</v>
      </c>
      <c r="AB8" s="28">
        <v>3300</v>
      </c>
      <c r="AC8" s="28">
        <v>5100</v>
      </c>
      <c r="AD8" s="28">
        <v>3300</v>
      </c>
      <c r="AE8" s="28">
        <v>3500</v>
      </c>
      <c r="AF8" s="28">
        <v>4500</v>
      </c>
      <c r="AG8" s="28">
        <v>4000</v>
      </c>
      <c r="AH8" s="28">
        <v>4500</v>
      </c>
      <c r="AI8" s="28">
        <v>4500</v>
      </c>
    </row>
    <row r="9" spans="1:35">
      <c r="A9" s="32"/>
      <c r="B9" s="32" t="s">
        <v>28</v>
      </c>
      <c r="C9" s="32"/>
      <c r="D9" s="26">
        <f>SUM(E9:AI9)</f>
        <v>103360</v>
      </c>
      <c r="E9" s="34">
        <v>2700</v>
      </c>
      <c r="F9" s="34">
        <v>3300</v>
      </c>
      <c r="G9" s="34">
        <v>4000</v>
      </c>
      <c r="H9" s="34">
        <v>2400</v>
      </c>
      <c r="I9" s="36">
        <v>1000</v>
      </c>
      <c r="J9" s="36">
        <v>1000</v>
      </c>
      <c r="K9" s="34">
        <v>2500</v>
      </c>
      <c r="L9" s="34">
        <v>4000</v>
      </c>
      <c r="M9" s="34">
        <v>3000</v>
      </c>
      <c r="N9" s="34">
        <v>2100</v>
      </c>
      <c r="O9" s="29">
        <v>2200</v>
      </c>
      <c r="P9" s="29">
        <v>3070</v>
      </c>
      <c r="Q9" s="29">
        <v>3000</v>
      </c>
      <c r="R9" s="28">
        <v>4200</v>
      </c>
      <c r="S9" s="28">
        <v>3500</v>
      </c>
      <c r="T9" s="28">
        <v>5500</v>
      </c>
      <c r="U9" s="28">
        <v>2500</v>
      </c>
      <c r="V9" s="28">
        <v>2500</v>
      </c>
      <c r="W9" s="28">
        <v>2500</v>
      </c>
      <c r="X9" s="28">
        <v>2500</v>
      </c>
      <c r="Y9" s="28">
        <v>3500</v>
      </c>
      <c r="Z9" s="28">
        <v>4500</v>
      </c>
      <c r="AA9" s="28">
        <v>5500</v>
      </c>
      <c r="AB9" s="28">
        <v>4390</v>
      </c>
      <c r="AC9" s="28">
        <v>4200</v>
      </c>
      <c r="AD9" s="28">
        <v>4200</v>
      </c>
      <c r="AE9" s="28">
        <v>4200</v>
      </c>
      <c r="AF9" s="28">
        <v>4200</v>
      </c>
      <c r="AG9" s="28">
        <v>4200</v>
      </c>
      <c r="AH9" s="28">
        <v>4000</v>
      </c>
      <c r="AI9" s="28">
        <v>3000</v>
      </c>
    </row>
    <row r="10" spans="1:35">
      <c r="A10" s="32"/>
      <c r="B10" s="32" t="s">
        <v>42</v>
      </c>
      <c r="C10" s="32"/>
      <c r="D10" s="26">
        <f>SUM(E10:AI10)</f>
        <v>0</v>
      </c>
      <c r="E10" s="34"/>
      <c r="F10" s="34"/>
      <c r="G10" s="34"/>
      <c r="H10" s="34"/>
      <c r="I10" s="36"/>
      <c r="J10" s="35"/>
      <c r="K10" s="34"/>
      <c r="L10" s="34"/>
      <c r="M10" s="34"/>
      <c r="N10" s="34"/>
      <c r="O10" s="29"/>
      <c r="P10" s="29"/>
      <c r="Q10" s="29"/>
      <c r="R10" s="28"/>
      <c r="S10" s="28"/>
      <c r="T10" s="28"/>
      <c r="U10" s="28"/>
      <c r="V10" s="29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>
      <c r="A11" s="32"/>
      <c r="B11" s="32" t="s">
        <v>22</v>
      </c>
      <c r="C11" s="32"/>
      <c r="D11" s="26">
        <f>SUM(E11:AI11)</f>
        <v>0</v>
      </c>
      <c r="E11" s="34"/>
      <c r="F11" s="34"/>
      <c r="G11" s="34"/>
      <c r="H11" s="34"/>
      <c r="I11" s="36"/>
      <c r="J11" s="35"/>
      <c r="K11" s="34"/>
      <c r="L11" s="34"/>
      <c r="M11" s="34"/>
      <c r="N11" s="34"/>
      <c r="O11" s="29"/>
      <c r="P11" s="29"/>
      <c r="Q11" s="29"/>
      <c r="R11" s="28"/>
      <c r="S11" s="28"/>
      <c r="T11" s="28"/>
      <c r="U11" s="28"/>
      <c r="V11" s="29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>
      <c r="A12" s="32"/>
      <c r="B12" s="32" t="s">
        <v>15</v>
      </c>
      <c r="C12" s="32"/>
      <c r="D12" s="26">
        <f>SUM(E12:AI12)</f>
        <v>0</v>
      </c>
      <c r="E12" s="34"/>
      <c r="F12" s="34"/>
      <c r="G12" s="34"/>
      <c r="H12" s="34"/>
      <c r="I12" s="36"/>
      <c r="J12" s="35"/>
      <c r="K12" s="34"/>
      <c r="L12" s="34"/>
      <c r="M12" s="34"/>
      <c r="N12" s="34"/>
      <c r="O12" s="29"/>
      <c r="P12" s="29"/>
      <c r="Q12" s="29"/>
      <c r="R12" s="28"/>
      <c r="S12" s="28"/>
      <c r="T12" s="28"/>
      <c r="U12" s="28"/>
      <c r="V12" s="29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ht="33">
      <c r="A13" s="32"/>
      <c r="B13" s="32" t="s">
        <v>18</v>
      </c>
      <c r="C13" s="32"/>
      <c r="D13" s="26">
        <f>SUM(E13:AI13)</f>
        <v>3</v>
      </c>
      <c r="E13" s="34"/>
      <c r="F13" s="34"/>
      <c r="G13" s="34"/>
      <c r="H13" s="34"/>
      <c r="I13" s="36"/>
      <c r="J13" s="35"/>
      <c r="K13" s="34"/>
      <c r="L13" s="34"/>
      <c r="M13" s="34"/>
      <c r="N13" s="34"/>
      <c r="O13" s="29">
        <v>3</v>
      </c>
      <c r="P13" s="29"/>
      <c r="Q13" s="29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ht="33">
      <c r="A14" s="32"/>
      <c r="B14" s="32" t="s">
        <v>6</v>
      </c>
      <c r="C14" s="32"/>
      <c r="D14" s="26">
        <f>SUM(E14:AI14)</f>
        <v>0</v>
      </c>
      <c r="E14" s="34"/>
      <c r="F14" s="34"/>
      <c r="G14" s="34"/>
      <c r="H14" s="34"/>
      <c r="I14" s="36"/>
      <c r="J14" s="35"/>
      <c r="K14" s="34"/>
      <c r="L14" s="34"/>
      <c r="M14" s="34"/>
      <c r="N14" s="34"/>
      <c r="O14" s="29"/>
      <c r="P14" s="29"/>
      <c r="Q14" s="29"/>
      <c r="R14" s="28"/>
      <c r="S14" s="28"/>
      <c r="T14" s="30"/>
      <c r="U14" s="28"/>
      <c r="V14" s="29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>
      <c r="A15" s="32"/>
      <c r="B15" s="32" t="s">
        <v>52</v>
      </c>
      <c r="C15" s="32"/>
      <c r="D15" s="26">
        <f>SUM(E15:AI15)</f>
        <v>0</v>
      </c>
      <c r="E15" s="34"/>
      <c r="F15" s="34"/>
      <c r="G15" s="34"/>
      <c r="H15" s="34"/>
      <c r="I15" s="36"/>
      <c r="J15" s="35"/>
      <c r="K15" s="34"/>
      <c r="L15" s="34"/>
      <c r="M15" s="34"/>
      <c r="N15" s="34"/>
      <c r="O15" s="29"/>
      <c r="P15" s="29"/>
      <c r="Q15" s="29"/>
      <c r="R15" s="28"/>
      <c r="S15" s="28"/>
      <c r="T15" s="28"/>
      <c r="U15" s="28"/>
      <c r="V15" s="29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>
      <c r="A16" s="32"/>
      <c r="B16" s="32" t="s">
        <v>62</v>
      </c>
      <c r="C16" s="32"/>
      <c r="D16" s="26">
        <f>SUM(E16:AI16)</f>
        <v>0</v>
      </c>
      <c r="E16" s="34"/>
      <c r="F16" s="34"/>
      <c r="G16" s="34"/>
      <c r="H16" s="34"/>
      <c r="I16" s="36"/>
      <c r="J16" s="35"/>
      <c r="K16" s="34"/>
      <c r="L16" s="34"/>
      <c r="M16" s="34"/>
      <c r="N16" s="34"/>
      <c r="O16" s="29"/>
      <c r="P16" s="29"/>
      <c r="Q16" s="29"/>
      <c r="R16" s="28"/>
      <c r="S16" s="28"/>
      <c r="T16" s="28"/>
      <c r="U16" s="28"/>
      <c r="V16" s="29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>
      <c r="A17" s="32"/>
      <c r="B17" s="32" t="s">
        <v>29</v>
      </c>
      <c r="C17" s="32"/>
      <c r="D17" s="26">
        <f>SUM(E17:AI17)</f>
        <v>0</v>
      </c>
      <c r="E17" s="34"/>
      <c r="F17" s="34"/>
      <c r="G17" s="34"/>
      <c r="H17" s="34"/>
      <c r="I17" s="36"/>
      <c r="J17" s="35"/>
      <c r="K17" s="34"/>
      <c r="L17" s="34"/>
      <c r="M17" s="38"/>
      <c r="N17" s="34"/>
      <c r="O17" s="29"/>
      <c r="P17" s="29"/>
      <c r="Q17" s="29"/>
      <c r="R17" s="28"/>
      <c r="S17" s="28"/>
      <c r="T17" s="37"/>
      <c r="U17" s="28"/>
      <c r="V17" s="29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1:35">
      <c r="A18" s="32"/>
      <c r="B18" s="32" t="s">
        <v>54</v>
      </c>
      <c r="C18" s="32"/>
      <c r="D18" s="26">
        <f>SUM(E18:AI18)</f>
        <v>86000</v>
      </c>
      <c r="E18" s="34">
        <v>22100</v>
      </c>
      <c r="F18" s="34">
        <v>2000</v>
      </c>
      <c r="G18" s="34">
        <v>2000</v>
      </c>
      <c r="H18" s="34">
        <v>600</v>
      </c>
      <c r="I18" s="36">
        <v>500</v>
      </c>
      <c r="J18" s="35">
        <v>1000</v>
      </c>
      <c r="K18" s="34">
        <v>1200</v>
      </c>
      <c r="L18" s="34">
        <v>1500</v>
      </c>
      <c r="M18" s="34">
        <v>3000</v>
      </c>
      <c r="N18" s="34">
        <v>2000</v>
      </c>
      <c r="O18" s="29">
        <v>3000</v>
      </c>
      <c r="P18" s="29">
        <v>2500</v>
      </c>
      <c r="Q18" s="29">
        <v>1000</v>
      </c>
      <c r="R18" s="28">
        <v>1500</v>
      </c>
      <c r="S18" s="28">
        <v>2100</v>
      </c>
      <c r="T18" s="28">
        <v>2100</v>
      </c>
      <c r="U18" s="28">
        <v>2300</v>
      </c>
      <c r="V18" s="29">
        <v>2900</v>
      </c>
      <c r="W18" s="28">
        <v>2000</v>
      </c>
      <c r="X18" s="28">
        <v>2500</v>
      </c>
      <c r="Y18" s="28">
        <v>2500</v>
      </c>
      <c r="Z18" s="28">
        <v>2200</v>
      </c>
      <c r="AA18" s="28">
        <v>2300</v>
      </c>
      <c r="AB18" s="28">
        <v>2900</v>
      </c>
      <c r="AC18" s="28">
        <v>3300</v>
      </c>
      <c r="AD18" s="28">
        <v>2000</v>
      </c>
      <c r="AE18" s="28">
        <v>3700</v>
      </c>
      <c r="AF18" s="28">
        <v>2000</v>
      </c>
      <c r="AG18" s="28">
        <v>2300</v>
      </c>
      <c r="AH18" s="28">
        <v>2500</v>
      </c>
      <c r="AI18" s="28">
        <v>2500</v>
      </c>
    </row>
    <row r="19" spans="1:35">
      <c r="A19" s="32"/>
      <c r="B19" s="32" t="s">
        <v>43</v>
      </c>
      <c r="C19" s="32"/>
      <c r="D19" s="26">
        <f>SUM(E19:AI19)</f>
        <v>2090</v>
      </c>
      <c r="E19" s="34">
        <v>10</v>
      </c>
      <c r="F19" s="34">
        <v>10</v>
      </c>
      <c r="G19" s="34">
        <v>10</v>
      </c>
      <c r="H19" s="34">
        <v>10</v>
      </c>
      <c r="I19" s="34">
        <v>10</v>
      </c>
      <c r="J19" s="34">
        <v>10</v>
      </c>
      <c r="K19" s="34">
        <v>50</v>
      </c>
      <c r="L19" s="34">
        <v>50</v>
      </c>
      <c r="M19" s="34">
        <v>100</v>
      </c>
      <c r="N19" s="34">
        <v>100</v>
      </c>
      <c r="O19" s="34">
        <v>300</v>
      </c>
      <c r="P19" s="34">
        <v>250</v>
      </c>
      <c r="Q19" s="36">
        <v>50</v>
      </c>
      <c r="R19" s="35">
        <v>50</v>
      </c>
      <c r="S19" s="34">
        <v>50</v>
      </c>
      <c r="T19" s="34">
        <v>10</v>
      </c>
      <c r="U19" s="34">
        <v>10</v>
      </c>
      <c r="V19" s="34">
        <v>50</v>
      </c>
      <c r="W19" s="34">
        <v>50</v>
      </c>
      <c r="X19" s="36">
        <v>150</v>
      </c>
      <c r="Y19" s="35">
        <v>150</v>
      </c>
      <c r="Z19" s="34">
        <v>150</v>
      </c>
      <c r="AA19" s="34">
        <v>100</v>
      </c>
      <c r="AB19" s="34">
        <v>10</v>
      </c>
      <c r="AC19" s="34">
        <v>50</v>
      </c>
      <c r="AD19" s="34">
        <v>50</v>
      </c>
      <c r="AE19" s="34">
        <v>50</v>
      </c>
      <c r="AF19" s="36">
        <v>50</v>
      </c>
      <c r="AG19" s="35">
        <v>50</v>
      </c>
      <c r="AH19" s="34">
        <v>50</v>
      </c>
      <c r="AI19" s="34">
        <v>50</v>
      </c>
    </row>
    <row r="20" spans="1:35" ht="40.5">
      <c r="A20" s="32"/>
      <c r="B20" s="33" t="s">
        <v>12</v>
      </c>
      <c r="C20" s="32"/>
      <c r="D20" s="26">
        <f>SUM(E20:AI20)</f>
        <v>5500</v>
      </c>
      <c r="E20" s="34">
        <v>140</v>
      </c>
      <c r="F20" s="28">
        <v>200</v>
      </c>
      <c r="G20" s="28">
        <v>300</v>
      </c>
      <c r="H20" s="34">
        <v>50</v>
      </c>
      <c r="I20" s="34">
        <v>50</v>
      </c>
      <c r="J20" s="34">
        <v>50</v>
      </c>
      <c r="K20" s="34">
        <v>50</v>
      </c>
      <c r="L20" s="34">
        <v>160</v>
      </c>
      <c r="M20" s="28">
        <v>200</v>
      </c>
      <c r="N20" s="28">
        <v>300</v>
      </c>
      <c r="O20" s="28">
        <v>200</v>
      </c>
      <c r="P20" s="28">
        <v>200</v>
      </c>
      <c r="Q20" s="28">
        <v>200</v>
      </c>
      <c r="R20" s="28">
        <v>200</v>
      </c>
      <c r="S20" s="28">
        <v>200</v>
      </c>
      <c r="T20" s="28">
        <v>200</v>
      </c>
      <c r="U20" s="28">
        <v>200</v>
      </c>
      <c r="V20" s="28">
        <v>300</v>
      </c>
      <c r="W20" s="28">
        <v>190</v>
      </c>
      <c r="X20" s="28">
        <v>200</v>
      </c>
      <c r="Y20" s="28">
        <v>300</v>
      </c>
      <c r="Z20" s="28">
        <v>100</v>
      </c>
      <c r="AA20" s="28">
        <v>150</v>
      </c>
      <c r="AB20" s="28">
        <v>100</v>
      </c>
      <c r="AC20" s="28">
        <v>100</v>
      </c>
      <c r="AD20" s="28">
        <v>200</v>
      </c>
      <c r="AE20" s="28">
        <v>300</v>
      </c>
      <c r="AF20" s="28">
        <v>100</v>
      </c>
      <c r="AG20" s="28">
        <v>100</v>
      </c>
      <c r="AH20" s="28">
        <v>230</v>
      </c>
      <c r="AI20" s="28">
        <v>230</v>
      </c>
    </row>
    <row r="21" spans="1:35">
      <c r="A21" s="32"/>
      <c r="B21" s="32" t="s">
        <v>39</v>
      </c>
      <c r="C21" s="32"/>
      <c r="D21" s="26">
        <f>SUM(E21:AI21)</f>
        <v>2710</v>
      </c>
      <c r="E21" s="34">
        <v>10</v>
      </c>
      <c r="F21" s="34">
        <v>30</v>
      </c>
      <c r="G21" s="34">
        <v>20</v>
      </c>
      <c r="H21" s="34">
        <v>30</v>
      </c>
      <c r="I21" s="36">
        <v>70</v>
      </c>
      <c r="J21" s="36">
        <v>70</v>
      </c>
      <c r="K21" s="36">
        <v>70</v>
      </c>
      <c r="L21" s="34">
        <v>150</v>
      </c>
      <c r="M21" s="34">
        <v>150</v>
      </c>
      <c r="N21" s="34">
        <v>150</v>
      </c>
      <c r="O21" s="29">
        <v>100</v>
      </c>
      <c r="P21" s="29">
        <v>200</v>
      </c>
      <c r="Q21" s="29">
        <v>50</v>
      </c>
      <c r="R21" s="29">
        <v>50</v>
      </c>
      <c r="S21" s="28">
        <v>200</v>
      </c>
      <c r="T21" s="28">
        <v>150</v>
      </c>
      <c r="U21" s="28">
        <v>100</v>
      </c>
      <c r="V21" s="29">
        <v>50</v>
      </c>
      <c r="W21" s="28">
        <v>60</v>
      </c>
      <c r="X21" s="28">
        <v>60</v>
      </c>
      <c r="Y21" s="28">
        <v>200</v>
      </c>
      <c r="Z21" s="28">
        <v>100</v>
      </c>
      <c r="AA21" s="28">
        <v>100</v>
      </c>
      <c r="AB21" s="28">
        <v>50</v>
      </c>
      <c r="AC21" s="28">
        <v>60</v>
      </c>
      <c r="AD21" s="28">
        <v>60</v>
      </c>
      <c r="AE21" s="28">
        <v>60</v>
      </c>
      <c r="AF21" s="28">
        <v>100</v>
      </c>
      <c r="AG21" s="28">
        <v>100</v>
      </c>
      <c r="AH21" s="28">
        <v>100</v>
      </c>
      <c r="AI21" s="28">
        <v>10</v>
      </c>
    </row>
    <row r="22" spans="1:35">
      <c r="A22" s="32"/>
      <c r="B22" s="32" t="s">
        <v>59</v>
      </c>
      <c r="C22" s="32"/>
      <c r="D22" s="26">
        <f>SUM(E22:AI22)</f>
        <v>935</v>
      </c>
      <c r="E22" s="34">
        <v>5</v>
      </c>
      <c r="F22" s="34">
        <v>5</v>
      </c>
      <c r="G22" s="34">
        <v>5</v>
      </c>
      <c r="H22" s="34">
        <v>10</v>
      </c>
      <c r="I22" s="36">
        <v>10</v>
      </c>
      <c r="J22" s="35">
        <v>20</v>
      </c>
      <c r="K22" s="34">
        <v>10</v>
      </c>
      <c r="L22" s="34">
        <v>300</v>
      </c>
      <c r="M22" s="34">
        <v>10</v>
      </c>
      <c r="N22" s="34">
        <v>10</v>
      </c>
      <c r="O22" s="29">
        <v>20</v>
      </c>
      <c r="P22" s="29">
        <v>10</v>
      </c>
      <c r="Q22" s="29">
        <v>5</v>
      </c>
      <c r="R22" s="28">
        <v>30</v>
      </c>
      <c r="S22" s="28">
        <v>30</v>
      </c>
      <c r="T22" s="28">
        <v>30</v>
      </c>
      <c r="U22" s="28">
        <v>20</v>
      </c>
      <c r="V22" s="29">
        <v>5</v>
      </c>
      <c r="W22" s="28">
        <v>10</v>
      </c>
      <c r="X22" s="28">
        <v>50</v>
      </c>
      <c r="Y22" s="28">
        <v>50</v>
      </c>
      <c r="Z22" s="28">
        <v>50</v>
      </c>
      <c r="AA22" s="28">
        <v>50</v>
      </c>
      <c r="AB22" s="28">
        <v>5</v>
      </c>
      <c r="AC22" s="28">
        <v>10</v>
      </c>
      <c r="AD22" s="28">
        <v>10</v>
      </c>
      <c r="AE22" s="28">
        <v>10</v>
      </c>
      <c r="AF22" s="28">
        <v>50</v>
      </c>
      <c r="AG22" s="28">
        <v>50</v>
      </c>
      <c r="AH22" s="28">
        <v>50</v>
      </c>
      <c r="AI22" s="28">
        <v>5</v>
      </c>
    </row>
    <row r="23" spans="1:35" ht="27">
      <c r="A23" s="32"/>
      <c r="B23" s="33" t="s">
        <v>7</v>
      </c>
      <c r="C23" s="32"/>
      <c r="D23" s="26">
        <f>SUM(E23:AI23)</f>
        <v>0</v>
      </c>
      <c r="E23" s="28"/>
      <c r="F23" s="28"/>
      <c r="G23" s="28"/>
      <c r="H23" s="28"/>
      <c r="I23" s="30"/>
      <c r="J23" s="31"/>
      <c r="K23" s="28"/>
      <c r="L23" s="28"/>
      <c r="M23" s="28"/>
      <c r="N23" s="28"/>
      <c r="O23" s="29"/>
      <c r="P23" s="29"/>
      <c r="Q23" s="29"/>
      <c r="R23" s="28"/>
      <c r="S23" s="30"/>
      <c r="T23" s="28"/>
      <c r="U23" s="28"/>
      <c r="V23" s="29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>
      <c r="A24" s="27" t="s">
        <v>63</v>
      </c>
      <c r="B24" s="27"/>
      <c r="C24" s="27"/>
      <c r="D24" s="26">
        <f>SUM(E24:AI24)</f>
        <v>704628</v>
      </c>
      <c r="E24" s="26">
        <f>SUM(E6:E23)</f>
        <v>30865</v>
      </c>
      <c r="F24" s="26">
        <f>SUM(F6:F23)</f>
        <v>13845</v>
      </c>
      <c r="G24" s="26">
        <f>SUM(G6:G23)</f>
        <v>16235</v>
      </c>
      <c r="H24" s="26">
        <f>SUM(H6:H23)</f>
        <v>11000</v>
      </c>
      <c r="I24" s="26">
        <f>SUM(I6:I23)</f>
        <v>13040</v>
      </c>
      <c r="J24" s="26">
        <f>SUM(J6:J23)</f>
        <v>11250</v>
      </c>
      <c r="K24" s="26">
        <f>SUM(K6:K23)</f>
        <v>11380</v>
      </c>
      <c r="L24" s="26">
        <f>SUM(L6:L23)</f>
        <v>241760</v>
      </c>
      <c r="M24" s="26">
        <f>SUM(M6:M23)</f>
        <v>15460</v>
      </c>
      <c r="N24" s="26">
        <f>SUM(N6:N23)</f>
        <v>14660</v>
      </c>
      <c r="O24" s="26">
        <f>SUM(O6:O23)</f>
        <v>16123</v>
      </c>
      <c r="P24" s="26">
        <f>SUM(P6:P23)</f>
        <v>13830</v>
      </c>
      <c r="Q24" s="26">
        <f>SUM(Q6:Q23)</f>
        <v>13305</v>
      </c>
      <c r="R24" s="26">
        <f>SUM(R6:R23)</f>
        <v>14230</v>
      </c>
      <c r="S24" s="26">
        <f>SUM(S6:S23)</f>
        <v>16380</v>
      </c>
      <c r="T24" s="26">
        <f>SUM(T6:T23)</f>
        <v>16790</v>
      </c>
      <c r="U24" s="26">
        <f>SUM(U6:U23)</f>
        <v>15330</v>
      </c>
      <c r="V24" s="26">
        <f>SUM(V6:V23)</f>
        <v>15305</v>
      </c>
      <c r="W24" s="26">
        <f>SUM(W6:W23)</f>
        <v>13710</v>
      </c>
      <c r="X24" s="26">
        <f>SUM(X6:X23)</f>
        <v>13370</v>
      </c>
      <c r="Y24" s="26">
        <f>SUM(Y6:Y23)</f>
        <v>14620</v>
      </c>
      <c r="Z24" s="26">
        <f>SUM(Z6:Z23)</f>
        <v>16200</v>
      </c>
      <c r="AA24" s="26">
        <f>SUM(AA6:AA23)</f>
        <v>17700</v>
      </c>
      <c r="AB24" s="26">
        <f>SUM(AB6:AB23)</f>
        <v>16855</v>
      </c>
      <c r="AC24" s="26">
        <f>SUM(AC6:AC23)</f>
        <v>17720</v>
      </c>
      <c r="AD24" s="26">
        <f>SUM(AD6:AD23)</f>
        <v>12620</v>
      </c>
      <c r="AE24" s="26">
        <f>SUM(AE6:AE23)</f>
        <v>15120</v>
      </c>
      <c r="AF24" s="26">
        <f>SUM(AF6:AF23)</f>
        <v>16100</v>
      </c>
      <c r="AG24" s="26">
        <f>SUM(AG6:AG23)</f>
        <v>16900</v>
      </c>
      <c r="AH24" s="26">
        <f>SUM(AH6:AH23)</f>
        <v>17530</v>
      </c>
      <c r="AI24" s="26">
        <f>SUM(AI6:AI23)</f>
        <v>15395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workbookViewId="0">
      <selection activeCell="AA14" sqref="AA14"/>
    </sheetView>
  </sheetViews>
  <sheetFormatPr defaultRowHeight="16.5"/>
  <cols>
    <col min="1" max="1" width="19.25" style="46" customWidth="1"/>
    <col min="2" max="16384" width="9" style="46"/>
  </cols>
  <sheetData>
    <row r="1" spans="1:32" ht="51.75" customHeight="1">
      <c r="A1" s="54"/>
      <c r="B1" s="52"/>
      <c r="C1" s="52"/>
      <c r="D1" s="53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>
      <c r="A2" s="55" t="s">
        <v>82</v>
      </c>
      <c r="B2" s="27" t="s">
        <v>64</v>
      </c>
      <c r="C2" s="56">
        <v>1</v>
      </c>
      <c r="D2" s="56">
        <v>2</v>
      </c>
      <c r="E2" s="56">
        <v>3</v>
      </c>
      <c r="F2" s="56">
        <v>4</v>
      </c>
      <c r="G2" s="57">
        <v>5</v>
      </c>
      <c r="H2" s="47">
        <v>6</v>
      </c>
      <c r="I2" s="56">
        <v>7</v>
      </c>
      <c r="J2" s="56">
        <v>8</v>
      </c>
      <c r="K2" s="56">
        <v>9</v>
      </c>
      <c r="L2" s="56">
        <v>10</v>
      </c>
      <c r="M2" s="56">
        <v>11</v>
      </c>
      <c r="N2" s="57">
        <v>12</v>
      </c>
      <c r="O2" s="47">
        <v>13</v>
      </c>
      <c r="P2" s="56">
        <v>14</v>
      </c>
      <c r="Q2" s="56">
        <v>15</v>
      </c>
      <c r="R2" s="56">
        <v>16</v>
      </c>
      <c r="S2" s="56">
        <v>17</v>
      </c>
      <c r="T2" s="56">
        <v>18</v>
      </c>
      <c r="U2" s="57">
        <v>19</v>
      </c>
      <c r="V2" s="47">
        <v>20</v>
      </c>
      <c r="W2" s="56">
        <v>21</v>
      </c>
      <c r="X2" s="56">
        <v>22</v>
      </c>
      <c r="Y2" s="56">
        <v>23</v>
      </c>
      <c r="Z2" s="56">
        <v>24</v>
      </c>
      <c r="AA2" s="56">
        <v>25</v>
      </c>
      <c r="AB2" s="57">
        <v>26</v>
      </c>
      <c r="AC2" s="47">
        <v>27</v>
      </c>
      <c r="AD2" s="56">
        <v>28</v>
      </c>
      <c r="AE2" s="56">
        <v>29</v>
      </c>
      <c r="AF2" s="56">
        <v>30</v>
      </c>
    </row>
    <row r="3" spans="1:32">
      <c r="A3" s="55" t="s">
        <v>83</v>
      </c>
      <c r="B3" s="27"/>
      <c r="C3" s="58" t="s">
        <v>84</v>
      </c>
      <c r="D3" s="58" t="s">
        <v>85</v>
      </c>
      <c r="E3" s="58" t="s">
        <v>86</v>
      </c>
      <c r="F3" s="58" t="s">
        <v>44</v>
      </c>
      <c r="G3" s="59" t="s">
        <v>53</v>
      </c>
      <c r="H3" s="48" t="s">
        <v>55</v>
      </c>
      <c r="I3" s="58" t="s">
        <v>46</v>
      </c>
      <c r="J3" s="58" t="s">
        <v>58</v>
      </c>
      <c r="K3" s="58" t="s">
        <v>40</v>
      </c>
      <c r="L3" s="58" t="s">
        <v>51</v>
      </c>
      <c r="M3" s="58" t="s">
        <v>44</v>
      </c>
      <c r="N3" s="59" t="s">
        <v>53</v>
      </c>
      <c r="O3" s="48" t="s">
        <v>55</v>
      </c>
      <c r="P3" s="58" t="s">
        <v>46</v>
      </c>
      <c r="Q3" s="58" t="s">
        <v>58</v>
      </c>
      <c r="R3" s="58" t="s">
        <v>40</v>
      </c>
      <c r="S3" s="58" t="s">
        <v>51</v>
      </c>
      <c r="T3" s="58" t="s">
        <v>44</v>
      </c>
      <c r="U3" s="59" t="s">
        <v>53</v>
      </c>
      <c r="V3" s="48" t="s">
        <v>55</v>
      </c>
      <c r="W3" s="58" t="s">
        <v>46</v>
      </c>
      <c r="X3" s="58" t="s">
        <v>58</v>
      </c>
      <c r="Y3" s="58" t="s">
        <v>40</v>
      </c>
      <c r="Z3" s="58" t="s">
        <v>51</v>
      </c>
      <c r="AA3" s="58" t="s">
        <v>44</v>
      </c>
      <c r="AB3" s="59" t="s">
        <v>53</v>
      </c>
      <c r="AC3" s="48" t="s">
        <v>55</v>
      </c>
      <c r="AD3" s="58" t="s">
        <v>46</v>
      </c>
      <c r="AE3" s="58" t="s">
        <v>58</v>
      </c>
      <c r="AF3" s="58" t="s">
        <v>40</v>
      </c>
    </row>
    <row r="4" spans="1:32">
      <c r="A4" s="60" t="s">
        <v>87</v>
      </c>
      <c r="B4" s="40"/>
      <c r="C4" s="39" t="s">
        <v>61</v>
      </c>
      <c r="D4" s="61" t="s">
        <v>88</v>
      </c>
      <c r="E4" s="61" t="s">
        <v>89</v>
      </c>
      <c r="F4" s="39" t="s">
        <v>61</v>
      </c>
      <c r="G4" s="39" t="s">
        <v>61</v>
      </c>
      <c r="H4" s="39" t="s">
        <v>61</v>
      </c>
      <c r="I4" s="39" t="s">
        <v>61</v>
      </c>
      <c r="J4" s="39" t="s">
        <v>61</v>
      </c>
      <c r="K4" s="39" t="s">
        <v>61</v>
      </c>
      <c r="L4" s="61" t="s">
        <v>88</v>
      </c>
      <c r="M4" s="39" t="s">
        <v>61</v>
      </c>
      <c r="N4" s="61" t="s">
        <v>90</v>
      </c>
      <c r="O4" s="61" t="s">
        <v>91</v>
      </c>
      <c r="P4" s="61" t="s">
        <v>89</v>
      </c>
      <c r="Q4" s="61" t="s">
        <v>92</v>
      </c>
      <c r="R4" s="61" t="s">
        <v>93</v>
      </c>
      <c r="S4" s="39" t="s">
        <v>61</v>
      </c>
      <c r="T4" s="39" t="s">
        <v>61</v>
      </c>
      <c r="U4" s="39" t="s">
        <v>61</v>
      </c>
      <c r="V4" s="39" t="s">
        <v>61</v>
      </c>
      <c r="W4" s="39" t="s">
        <v>61</v>
      </c>
      <c r="X4" s="39" t="s">
        <v>61</v>
      </c>
      <c r="Y4" s="39" t="s">
        <v>61</v>
      </c>
      <c r="Z4" s="39" t="s">
        <v>61</v>
      </c>
      <c r="AA4" s="39" t="s">
        <v>61</v>
      </c>
      <c r="AB4" s="61" t="s">
        <v>89</v>
      </c>
      <c r="AC4" s="62" t="s">
        <v>61</v>
      </c>
      <c r="AD4" s="61" t="s">
        <v>90</v>
      </c>
      <c r="AE4" s="39" t="s">
        <v>61</v>
      </c>
      <c r="AF4" s="39" t="s">
        <v>61</v>
      </c>
    </row>
    <row r="5" spans="1:32">
      <c r="A5" s="60" t="s">
        <v>10</v>
      </c>
      <c r="B5" s="26">
        <f t="shared" ref="B5:B23" si="0">SUM(C5:AF5)</f>
        <v>9450</v>
      </c>
      <c r="C5" s="28">
        <v>300</v>
      </c>
      <c r="D5" s="28">
        <v>300</v>
      </c>
      <c r="E5" s="28">
        <v>250</v>
      </c>
      <c r="F5" s="28">
        <v>300</v>
      </c>
      <c r="G5" s="28">
        <v>400</v>
      </c>
      <c r="H5" s="28">
        <v>400</v>
      </c>
      <c r="I5" s="28">
        <v>300</v>
      </c>
      <c r="J5" s="28">
        <v>300</v>
      </c>
      <c r="K5" s="28">
        <v>300</v>
      </c>
      <c r="L5" s="28">
        <v>300</v>
      </c>
      <c r="M5" s="28">
        <v>400</v>
      </c>
      <c r="N5" s="28">
        <v>200</v>
      </c>
      <c r="O5" s="28">
        <v>300</v>
      </c>
      <c r="P5" s="28">
        <v>200</v>
      </c>
      <c r="Q5" s="28">
        <v>300</v>
      </c>
      <c r="R5" s="28">
        <v>400</v>
      </c>
      <c r="S5" s="28">
        <v>300</v>
      </c>
      <c r="T5" s="28">
        <v>400</v>
      </c>
      <c r="U5" s="28">
        <v>500</v>
      </c>
      <c r="V5" s="28">
        <v>500</v>
      </c>
      <c r="W5" s="28">
        <v>300</v>
      </c>
      <c r="X5" s="28">
        <v>300</v>
      </c>
      <c r="Y5" s="28">
        <v>200</v>
      </c>
      <c r="Z5" s="28">
        <v>200</v>
      </c>
      <c r="AA5" s="28">
        <v>300</v>
      </c>
      <c r="AB5" s="28">
        <v>200</v>
      </c>
      <c r="AC5" s="28">
        <v>400</v>
      </c>
      <c r="AD5" s="28">
        <v>200</v>
      </c>
      <c r="AE5" s="28">
        <v>300</v>
      </c>
      <c r="AF5" s="28">
        <v>400</v>
      </c>
    </row>
    <row r="6" spans="1:32">
      <c r="A6" s="60" t="s">
        <v>9</v>
      </c>
      <c r="B6" s="26">
        <f t="shared" si="0"/>
        <v>65200</v>
      </c>
      <c r="C6" s="28">
        <v>3000</v>
      </c>
      <c r="D6" s="28">
        <v>1000</v>
      </c>
      <c r="E6" s="29">
        <v>1000</v>
      </c>
      <c r="F6" s="29">
        <v>1500</v>
      </c>
      <c r="G6" s="29">
        <v>2000</v>
      </c>
      <c r="H6" s="28">
        <v>3500</v>
      </c>
      <c r="I6" s="28">
        <v>2100</v>
      </c>
      <c r="J6" s="28">
        <v>2100</v>
      </c>
      <c r="K6" s="28">
        <v>2300</v>
      </c>
      <c r="L6" s="29">
        <v>1900</v>
      </c>
      <c r="M6" s="28">
        <v>2000</v>
      </c>
      <c r="N6" s="28">
        <v>2500</v>
      </c>
      <c r="O6" s="28">
        <v>2500</v>
      </c>
      <c r="P6" s="28">
        <v>2200</v>
      </c>
      <c r="Q6" s="28">
        <v>1000</v>
      </c>
      <c r="R6" s="28">
        <v>2000</v>
      </c>
      <c r="S6" s="29">
        <v>3000</v>
      </c>
      <c r="T6" s="29">
        <v>2500</v>
      </c>
      <c r="U6" s="29">
        <v>3000</v>
      </c>
      <c r="V6" s="28">
        <v>2500</v>
      </c>
      <c r="W6" s="28">
        <v>2100</v>
      </c>
      <c r="X6" s="28">
        <v>2100</v>
      </c>
      <c r="Y6" s="28">
        <v>2300</v>
      </c>
      <c r="Z6" s="29">
        <v>2900</v>
      </c>
      <c r="AA6" s="28">
        <v>2000</v>
      </c>
      <c r="AB6" s="28">
        <v>2500</v>
      </c>
      <c r="AC6" s="28">
        <v>2500</v>
      </c>
      <c r="AD6" s="28">
        <v>2200</v>
      </c>
      <c r="AE6" s="28">
        <v>1500</v>
      </c>
      <c r="AF6" s="28">
        <v>1500</v>
      </c>
    </row>
    <row r="7" spans="1:32">
      <c r="A7" s="60" t="s">
        <v>5</v>
      </c>
      <c r="B7" s="26">
        <f t="shared" si="0"/>
        <v>68200</v>
      </c>
      <c r="C7" s="28">
        <v>2500</v>
      </c>
      <c r="D7" s="28">
        <v>3400</v>
      </c>
      <c r="E7" s="28">
        <v>2500</v>
      </c>
      <c r="F7" s="28">
        <v>2500</v>
      </c>
      <c r="G7" s="30">
        <v>3500</v>
      </c>
      <c r="H7" s="31">
        <v>3300</v>
      </c>
      <c r="I7" s="28">
        <v>1900</v>
      </c>
      <c r="J7" s="28">
        <v>2000</v>
      </c>
      <c r="K7" s="29">
        <v>1500</v>
      </c>
      <c r="L7" s="29">
        <v>1000</v>
      </c>
      <c r="M7" s="28">
        <v>1500</v>
      </c>
      <c r="N7" s="28">
        <v>2100</v>
      </c>
      <c r="O7" s="28">
        <v>2100</v>
      </c>
      <c r="P7" s="28">
        <v>2300</v>
      </c>
      <c r="Q7" s="29">
        <v>2900</v>
      </c>
      <c r="R7" s="28">
        <v>2000</v>
      </c>
      <c r="S7" s="28">
        <v>2500</v>
      </c>
      <c r="T7" s="28">
        <v>2500</v>
      </c>
      <c r="U7" s="28">
        <v>2200</v>
      </c>
      <c r="V7" s="29">
        <v>3500</v>
      </c>
      <c r="W7" s="29">
        <v>1000</v>
      </c>
      <c r="X7" s="28">
        <v>1500</v>
      </c>
      <c r="Y7" s="28">
        <v>2100</v>
      </c>
      <c r="Z7" s="28">
        <v>2100</v>
      </c>
      <c r="AA7" s="28">
        <v>2300</v>
      </c>
      <c r="AB7" s="29">
        <v>3500</v>
      </c>
      <c r="AC7" s="28">
        <v>2000</v>
      </c>
      <c r="AD7" s="28">
        <v>2500</v>
      </c>
      <c r="AE7" s="28">
        <v>1500</v>
      </c>
      <c r="AF7" s="28">
        <v>2000</v>
      </c>
    </row>
    <row r="8" spans="1:32">
      <c r="A8" s="60" t="s">
        <v>28</v>
      </c>
      <c r="B8" s="26">
        <f t="shared" si="0"/>
        <v>63000</v>
      </c>
      <c r="C8" s="29">
        <v>2500</v>
      </c>
      <c r="D8" s="29">
        <v>1000</v>
      </c>
      <c r="E8" s="28">
        <v>1500</v>
      </c>
      <c r="F8" s="28">
        <v>1500</v>
      </c>
      <c r="G8" s="28">
        <v>3100</v>
      </c>
      <c r="H8" s="28">
        <v>3300</v>
      </c>
      <c r="I8" s="29">
        <v>2900</v>
      </c>
      <c r="J8" s="28">
        <v>2000</v>
      </c>
      <c r="K8" s="28">
        <v>1500</v>
      </c>
      <c r="L8" s="28">
        <v>2500</v>
      </c>
      <c r="M8" s="28">
        <v>2200</v>
      </c>
      <c r="N8" s="29">
        <v>1500</v>
      </c>
      <c r="O8" s="29">
        <v>3000</v>
      </c>
      <c r="P8" s="28">
        <v>1500</v>
      </c>
      <c r="Q8" s="28">
        <v>2100</v>
      </c>
      <c r="R8" s="28">
        <v>2100</v>
      </c>
      <c r="S8" s="28">
        <v>2300</v>
      </c>
      <c r="T8" s="29">
        <v>2900</v>
      </c>
      <c r="U8" s="28">
        <v>2000</v>
      </c>
      <c r="V8" s="28">
        <v>2500</v>
      </c>
      <c r="W8" s="28">
        <v>2500</v>
      </c>
      <c r="X8" s="28">
        <v>2200</v>
      </c>
      <c r="Y8" s="29">
        <v>2500</v>
      </c>
      <c r="Z8" s="29">
        <v>1000</v>
      </c>
      <c r="AA8" s="28">
        <v>1500</v>
      </c>
      <c r="AB8" s="28">
        <v>2100</v>
      </c>
      <c r="AC8" s="28">
        <v>2100</v>
      </c>
      <c r="AD8" s="28">
        <v>2300</v>
      </c>
      <c r="AE8" s="29">
        <v>1900</v>
      </c>
      <c r="AF8" s="28">
        <v>1000</v>
      </c>
    </row>
    <row r="9" spans="1:32">
      <c r="A9" s="60" t="s">
        <v>42</v>
      </c>
      <c r="B9" s="26">
        <f t="shared" si="0"/>
        <v>0</v>
      </c>
      <c r="C9" s="28"/>
      <c r="D9" s="28"/>
      <c r="E9" s="28"/>
      <c r="F9" s="28"/>
      <c r="G9" s="30"/>
      <c r="H9" s="31"/>
      <c r="I9" s="28"/>
      <c r="J9" s="28"/>
      <c r="K9" s="28"/>
      <c r="L9" s="28"/>
      <c r="M9" s="29"/>
      <c r="N9" s="29"/>
      <c r="O9" s="29"/>
      <c r="P9" s="28"/>
      <c r="Q9" s="28"/>
      <c r="R9" s="28"/>
      <c r="S9" s="28"/>
      <c r="T9" s="29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>
      <c r="A10" s="60" t="s">
        <v>22</v>
      </c>
      <c r="B10" s="26">
        <f t="shared" si="0"/>
        <v>0</v>
      </c>
      <c r="C10" s="28"/>
      <c r="D10" s="28"/>
      <c r="E10" s="28"/>
      <c r="F10" s="28"/>
      <c r="G10" s="30"/>
      <c r="H10" s="31"/>
      <c r="I10" s="28"/>
      <c r="J10" s="28"/>
      <c r="K10" s="28"/>
      <c r="L10" s="28"/>
      <c r="M10" s="29"/>
      <c r="N10" s="29"/>
      <c r="O10" s="29"/>
      <c r="P10" s="28"/>
      <c r="Q10" s="28"/>
      <c r="R10" s="28"/>
      <c r="S10" s="28"/>
      <c r="T10" s="29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>
      <c r="A11" s="60" t="s">
        <v>15</v>
      </c>
      <c r="B11" s="26">
        <f t="shared" si="0"/>
        <v>0</v>
      </c>
      <c r="C11" s="28"/>
      <c r="D11" s="28"/>
      <c r="E11" s="28"/>
      <c r="F11" s="28"/>
      <c r="G11" s="30"/>
      <c r="H11" s="31"/>
      <c r="I11" s="28"/>
      <c r="J11" s="28"/>
      <c r="K11" s="28"/>
      <c r="L11" s="28"/>
      <c r="M11" s="29"/>
      <c r="N11" s="29"/>
      <c r="O11" s="29"/>
      <c r="P11" s="28"/>
      <c r="Q11" s="28"/>
      <c r="R11" s="28"/>
      <c r="S11" s="28"/>
      <c r="T11" s="29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</row>
    <row r="12" spans="1:32">
      <c r="A12" s="60" t="s">
        <v>18</v>
      </c>
      <c r="B12" s="26">
        <f t="shared" si="0"/>
        <v>0</v>
      </c>
      <c r="C12" s="28"/>
      <c r="D12" s="28"/>
      <c r="E12" s="28"/>
      <c r="F12" s="28"/>
      <c r="G12" s="30"/>
      <c r="H12" s="31"/>
      <c r="I12" s="28"/>
      <c r="J12" s="28"/>
      <c r="K12" s="28"/>
      <c r="L12" s="28"/>
      <c r="M12" s="29"/>
      <c r="N12" s="29"/>
      <c r="O12" s="29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>
      <c r="A13" s="60" t="s">
        <v>6</v>
      </c>
      <c r="B13" s="26">
        <f t="shared" si="0"/>
        <v>0</v>
      </c>
      <c r="C13" s="28"/>
      <c r="D13" s="28"/>
      <c r="E13" s="28"/>
      <c r="F13" s="28"/>
      <c r="G13" s="30"/>
      <c r="H13" s="31"/>
      <c r="I13" s="28"/>
      <c r="J13" s="28"/>
      <c r="K13" s="28"/>
      <c r="L13" s="28"/>
      <c r="M13" s="29"/>
      <c r="N13" s="29"/>
      <c r="O13" s="29"/>
      <c r="P13" s="28"/>
      <c r="Q13" s="28"/>
      <c r="R13" s="30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</row>
    <row r="14" spans="1:32">
      <c r="A14" s="60" t="s">
        <v>52</v>
      </c>
      <c r="B14" s="26">
        <f t="shared" si="0"/>
        <v>0</v>
      </c>
      <c r="C14" s="28"/>
      <c r="D14" s="28"/>
      <c r="E14" s="28"/>
      <c r="F14" s="28"/>
      <c r="G14" s="30"/>
      <c r="H14" s="31"/>
      <c r="I14" s="28"/>
      <c r="J14" s="28"/>
      <c r="K14" s="28"/>
      <c r="L14" s="28"/>
      <c r="M14" s="29"/>
      <c r="N14" s="29"/>
      <c r="O14" s="29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</row>
    <row r="15" spans="1:32">
      <c r="A15" s="60" t="s">
        <v>62</v>
      </c>
      <c r="B15" s="26">
        <f t="shared" si="0"/>
        <v>0</v>
      </c>
      <c r="C15" s="28"/>
      <c r="D15" s="28"/>
      <c r="E15" s="28"/>
      <c r="F15" s="28"/>
      <c r="G15" s="30"/>
      <c r="H15" s="31"/>
      <c r="I15" s="28"/>
      <c r="J15" s="28"/>
      <c r="K15" s="28"/>
      <c r="L15" s="28"/>
      <c r="M15" s="29"/>
      <c r="N15" s="29"/>
      <c r="O15" s="29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</row>
    <row r="16" spans="1:32">
      <c r="A16" s="60" t="s">
        <v>29</v>
      </c>
      <c r="B16" s="26">
        <f t="shared" si="0"/>
        <v>0</v>
      </c>
      <c r="C16" s="28"/>
      <c r="D16" s="28"/>
      <c r="E16" s="28"/>
      <c r="F16" s="28"/>
      <c r="G16" s="30"/>
      <c r="H16" s="31"/>
      <c r="I16" s="28"/>
      <c r="J16" s="28"/>
      <c r="K16" s="37"/>
      <c r="L16" s="28"/>
      <c r="M16" s="29"/>
      <c r="N16" s="29"/>
      <c r="O16" s="29"/>
      <c r="P16" s="28"/>
      <c r="Q16" s="28"/>
      <c r="R16" s="37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>
      <c r="A17" s="60" t="s">
        <v>54</v>
      </c>
      <c r="B17" s="26">
        <f t="shared" si="0"/>
        <v>45900</v>
      </c>
      <c r="C17" s="28">
        <v>1100</v>
      </c>
      <c r="D17" s="28">
        <v>2000</v>
      </c>
      <c r="E17" s="28">
        <v>2000</v>
      </c>
      <c r="F17" s="28">
        <v>1600</v>
      </c>
      <c r="G17" s="30">
        <v>2500</v>
      </c>
      <c r="H17" s="31">
        <v>3000</v>
      </c>
      <c r="I17" s="28">
        <v>1200</v>
      </c>
      <c r="J17" s="28">
        <v>1000</v>
      </c>
      <c r="K17" s="28">
        <v>1000</v>
      </c>
      <c r="L17" s="28">
        <v>1000</v>
      </c>
      <c r="M17" s="29">
        <v>1000</v>
      </c>
      <c r="N17" s="29">
        <v>1000</v>
      </c>
      <c r="O17" s="29">
        <v>2500</v>
      </c>
      <c r="P17" s="28">
        <v>1500</v>
      </c>
      <c r="Q17" s="28">
        <v>1100</v>
      </c>
      <c r="R17" s="28">
        <v>1100</v>
      </c>
      <c r="S17" s="28">
        <v>1300</v>
      </c>
      <c r="T17" s="29">
        <v>1000</v>
      </c>
      <c r="U17" s="28">
        <v>2000</v>
      </c>
      <c r="V17" s="28">
        <v>2500</v>
      </c>
      <c r="W17" s="28">
        <v>1500</v>
      </c>
      <c r="X17" s="28">
        <v>1200</v>
      </c>
      <c r="Y17" s="28">
        <v>1000</v>
      </c>
      <c r="Z17" s="28">
        <v>1000</v>
      </c>
      <c r="AA17" s="28">
        <v>1300</v>
      </c>
      <c r="AB17" s="28">
        <v>2000</v>
      </c>
      <c r="AC17" s="28">
        <v>2700</v>
      </c>
      <c r="AD17" s="28">
        <v>1000</v>
      </c>
      <c r="AE17" s="28">
        <v>1300</v>
      </c>
      <c r="AF17" s="28">
        <v>1500</v>
      </c>
    </row>
    <row r="18" spans="1:32">
      <c r="A18" s="60" t="s">
        <v>43</v>
      </c>
      <c r="B18" s="26">
        <f t="shared" si="0"/>
        <v>1890</v>
      </c>
      <c r="C18" s="28">
        <v>10</v>
      </c>
      <c r="D18" s="28">
        <v>10</v>
      </c>
      <c r="E18" s="28">
        <v>10</v>
      </c>
      <c r="F18" s="28">
        <v>10</v>
      </c>
      <c r="G18" s="28">
        <v>10</v>
      </c>
      <c r="H18" s="28">
        <v>10</v>
      </c>
      <c r="I18" s="28">
        <v>50</v>
      </c>
      <c r="J18" s="28">
        <v>50</v>
      </c>
      <c r="K18" s="28">
        <v>100</v>
      </c>
      <c r="L18" s="28">
        <v>100</v>
      </c>
      <c r="M18" s="28">
        <v>100</v>
      </c>
      <c r="N18" s="28">
        <v>100</v>
      </c>
      <c r="O18" s="28">
        <v>250</v>
      </c>
      <c r="P18" s="31">
        <v>50</v>
      </c>
      <c r="Q18" s="28">
        <v>50</v>
      </c>
      <c r="R18" s="28">
        <v>10</v>
      </c>
      <c r="S18" s="28">
        <v>10</v>
      </c>
      <c r="T18" s="28">
        <v>50</v>
      </c>
      <c r="U18" s="28">
        <v>50</v>
      </c>
      <c r="V18" s="30">
        <v>150</v>
      </c>
      <c r="W18" s="31">
        <v>150</v>
      </c>
      <c r="X18" s="28">
        <v>150</v>
      </c>
      <c r="Y18" s="28">
        <v>100</v>
      </c>
      <c r="Z18" s="28">
        <v>10</v>
      </c>
      <c r="AA18" s="28">
        <v>50</v>
      </c>
      <c r="AB18" s="28">
        <v>50</v>
      </c>
      <c r="AC18" s="28">
        <v>50</v>
      </c>
      <c r="AD18" s="30">
        <v>50</v>
      </c>
      <c r="AE18" s="31">
        <v>50</v>
      </c>
      <c r="AF18" s="28">
        <v>50</v>
      </c>
    </row>
    <row r="19" spans="1:32">
      <c r="A19" s="63" t="s">
        <v>12</v>
      </c>
      <c r="B19" s="26">
        <f t="shared" si="0"/>
        <v>5180</v>
      </c>
      <c r="C19" s="28">
        <v>140</v>
      </c>
      <c r="D19" s="28">
        <v>200</v>
      </c>
      <c r="E19" s="28">
        <v>300</v>
      </c>
      <c r="F19" s="28">
        <v>50</v>
      </c>
      <c r="G19" s="28">
        <v>50</v>
      </c>
      <c r="H19" s="28">
        <v>50</v>
      </c>
      <c r="I19" s="28">
        <v>50</v>
      </c>
      <c r="J19" s="28">
        <v>160</v>
      </c>
      <c r="K19" s="28">
        <v>200</v>
      </c>
      <c r="L19" s="28">
        <v>300</v>
      </c>
      <c r="M19" s="28">
        <v>200</v>
      </c>
      <c r="N19" s="28">
        <v>200</v>
      </c>
      <c r="O19" s="28">
        <v>200</v>
      </c>
      <c r="P19" s="28">
        <v>200</v>
      </c>
      <c r="Q19" s="28">
        <v>200</v>
      </c>
      <c r="R19" s="28">
        <v>200</v>
      </c>
      <c r="S19" s="28">
        <v>200</v>
      </c>
      <c r="T19" s="28">
        <v>200</v>
      </c>
      <c r="U19" s="28">
        <v>300</v>
      </c>
      <c r="V19" s="28">
        <v>300</v>
      </c>
      <c r="W19" s="28">
        <v>100</v>
      </c>
      <c r="X19" s="28">
        <v>100</v>
      </c>
      <c r="Y19" s="28">
        <v>150</v>
      </c>
      <c r="Z19" s="28">
        <v>100</v>
      </c>
      <c r="AA19" s="28">
        <v>100</v>
      </c>
      <c r="AB19" s="28">
        <v>200</v>
      </c>
      <c r="AC19" s="28">
        <v>300</v>
      </c>
      <c r="AD19" s="28">
        <v>100</v>
      </c>
      <c r="AE19" s="28">
        <v>100</v>
      </c>
      <c r="AF19" s="28">
        <v>230</v>
      </c>
    </row>
    <row r="20" spans="1:32">
      <c r="A20" s="60" t="s">
        <v>39</v>
      </c>
      <c r="B20" s="26">
        <f t="shared" si="0"/>
        <v>2700</v>
      </c>
      <c r="C20" s="28">
        <v>10</v>
      </c>
      <c r="D20" s="28">
        <v>30</v>
      </c>
      <c r="E20" s="28">
        <v>20</v>
      </c>
      <c r="F20" s="28">
        <v>30</v>
      </c>
      <c r="G20" s="30">
        <v>70</v>
      </c>
      <c r="H20" s="30">
        <v>70</v>
      </c>
      <c r="I20" s="30">
        <v>70</v>
      </c>
      <c r="J20" s="28">
        <v>150</v>
      </c>
      <c r="K20" s="28">
        <v>150</v>
      </c>
      <c r="L20" s="28">
        <v>150</v>
      </c>
      <c r="M20" s="29">
        <v>100</v>
      </c>
      <c r="N20" s="29">
        <v>200</v>
      </c>
      <c r="O20" s="29">
        <v>50</v>
      </c>
      <c r="P20" s="29">
        <v>50</v>
      </c>
      <c r="Q20" s="28">
        <v>200</v>
      </c>
      <c r="R20" s="28">
        <v>150</v>
      </c>
      <c r="S20" s="28">
        <v>100</v>
      </c>
      <c r="T20" s="29">
        <v>50</v>
      </c>
      <c r="U20" s="28">
        <v>60</v>
      </c>
      <c r="V20" s="28">
        <v>60</v>
      </c>
      <c r="W20" s="28">
        <v>200</v>
      </c>
      <c r="X20" s="28">
        <v>100</v>
      </c>
      <c r="Y20" s="28">
        <v>100</v>
      </c>
      <c r="Z20" s="28">
        <v>50</v>
      </c>
      <c r="AA20" s="28">
        <v>60</v>
      </c>
      <c r="AB20" s="28">
        <v>60</v>
      </c>
      <c r="AC20" s="28">
        <v>60</v>
      </c>
      <c r="AD20" s="28">
        <v>100</v>
      </c>
      <c r="AE20" s="28">
        <v>100</v>
      </c>
      <c r="AF20" s="28">
        <v>100</v>
      </c>
    </row>
    <row r="21" spans="1:32">
      <c r="A21" s="60" t="s">
        <v>59</v>
      </c>
      <c r="B21" s="26">
        <f t="shared" si="0"/>
        <v>290</v>
      </c>
      <c r="C21" s="28">
        <v>5</v>
      </c>
      <c r="D21" s="28">
        <v>5</v>
      </c>
      <c r="E21" s="28">
        <v>5</v>
      </c>
      <c r="F21" s="28">
        <v>10</v>
      </c>
      <c r="G21" s="30">
        <v>10</v>
      </c>
      <c r="H21" s="31">
        <v>20</v>
      </c>
      <c r="I21" s="28">
        <v>10</v>
      </c>
      <c r="J21" s="28">
        <v>5</v>
      </c>
      <c r="K21" s="28">
        <v>10</v>
      </c>
      <c r="L21" s="28">
        <v>10</v>
      </c>
      <c r="M21" s="29">
        <v>20</v>
      </c>
      <c r="N21" s="29">
        <v>10</v>
      </c>
      <c r="O21" s="29">
        <v>5</v>
      </c>
      <c r="P21" s="28">
        <v>5</v>
      </c>
      <c r="Q21" s="28">
        <v>5</v>
      </c>
      <c r="R21" s="28">
        <v>5</v>
      </c>
      <c r="S21" s="28">
        <v>20</v>
      </c>
      <c r="T21" s="29">
        <v>5</v>
      </c>
      <c r="U21" s="28">
        <v>10</v>
      </c>
      <c r="V21" s="28">
        <v>50</v>
      </c>
      <c r="W21" s="28">
        <v>5</v>
      </c>
      <c r="X21" s="28">
        <v>5</v>
      </c>
      <c r="Y21" s="28">
        <v>5</v>
      </c>
      <c r="Z21" s="28">
        <v>5</v>
      </c>
      <c r="AA21" s="28">
        <v>10</v>
      </c>
      <c r="AB21" s="28">
        <v>10</v>
      </c>
      <c r="AC21" s="28">
        <v>10</v>
      </c>
      <c r="AD21" s="28">
        <v>5</v>
      </c>
      <c r="AE21" s="28">
        <v>5</v>
      </c>
      <c r="AF21" s="28">
        <v>5</v>
      </c>
    </row>
    <row r="22" spans="1:32">
      <c r="A22" s="63" t="s">
        <v>7</v>
      </c>
      <c r="B22" s="26">
        <f t="shared" si="0"/>
        <v>0</v>
      </c>
      <c r="C22" s="28"/>
      <c r="D22" s="28"/>
      <c r="E22" s="28"/>
      <c r="F22" s="28"/>
      <c r="G22" s="30"/>
      <c r="H22" s="31"/>
      <c r="I22" s="28"/>
      <c r="J22" s="28"/>
      <c r="K22" s="28"/>
      <c r="L22" s="28"/>
      <c r="M22" s="29"/>
      <c r="N22" s="29"/>
      <c r="O22" s="29"/>
      <c r="P22" s="28"/>
      <c r="Q22" s="30"/>
      <c r="R22" s="28"/>
      <c r="S22" s="28"/>
      <c r="T22" s="29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1:32">
      <c r="A23" s="55" t="s">
        <v>63</v>
      </c>
      <c r="B23" s="26">
        <f t="shared" si="0"/>
        <v>261810</v>
      </c>
      <c r="C23" s="26">
        <f t="shared" ref="C23:AF23" si="1">SUM(C5:C22)</f>
        <v>9565</v>
      </c>
      <c r="D23" s="26">
        <f t="shared" si="1"/>
        <v>7945</v>
      </c>
      <c r="E23" s="26">
        <f t="shared" si="1"/>
        <v>7585</v>
      </c>
      <c r="F23" s="26">
        <f>SUM(F5:F22)</f>
        <v>7500</v>
      </c>
      <c r="G23" s="26">
        <f t="shared" si="1"/>
        <v>11640</v>
      </c>
      <c r="H23" s="26">
        <f t="shared" si="1"/>
        <v>13650</v>
      </c>
      <c r="I23" s="26">
        <f t="shared" si="1"/>
        <v>8580</v>
      </c>
      <c r="J23" s="26">
        <f t="shared" si="1"/>
        <v>7765</v>
      </c>
      <c r="K23" s="26">
        <f t="shared" si="1"/>
        <v>7060</v>
      </c>
      <c r="L23" s="26">
        <f t="shared" si="1"/>
        <v>7260</v>
      </c>
      <c r="M23" s="26">
        <f t="shared" si="1"/>
        <v>7520</v>
      </c>
      <c r="N23" s="26">
        <f t="shared" si="1"/>
        <v>7810</v>
      </c>
      <c r="O23" s="26">
        <f t="shared" si="1"/>
        <v>10905</v>
      </c>
      <c r="P23" s="26">
        <f t="shared" si="1"/>
        <v>8005</v>
      </c>
      <c r="Q23" s="26">
        <f t="shared" si="1"/>
        <v>7855</v>
      </c>
      <c r="R23" s="26">
        <f t="shared" si="1"/>
        <v>7965</v>
      </c>
      <c r="S23" s="26">
        <f t="shared" si="1"/>
        <v>9730</v>
      </c>
      <c r="T23" s="26">
        <f t="shared" si="1"/>
        <v>9605</v>
      </c>
      <c r="U23" s="26">
        <f t="shared" si="1"/>
        <v>10120</v>
      </c>
      <c r="V23" s="26">
        <f t="shared" si="1"/>
        <v>12060</v>
      </c>
      <c r="W23" s="26">
        <f t="shared" si="1"/>
        <v>7855</v>
      </c>
      <c r="X23" s="26">
        <f t="shared" si="1"/>
        <v>7655</v>
      </c>
      <c r="Y23" s="26">
        <f t="shared" si="1"/>
        <v>8455</v>
      </c>
      <c r="Z23" s="26">
        <f t="shared" si="1"/>
        <v>7365</v>
      </c>
      <c r="AA23" s="26">
        <f t="shared" si="1"/>
        <v>7620</v>
      </c>
      <c r="AB23" s="26">
        <f t="shared" si="1"/>
        <v>10620</v>
      </c>
      <c r="AC23" s="26">
        <f t="shared" si="1"/>
        <v>10120</v>
      </c>
      <c r="AD23" s="26">
        <f t="shared" si="1"/>
        <v>8455</v>
      </c>
      <c r="AE23" s="26">
        <f t="shared" si="1"/>
        <v>6755</v>
      </c>
      <c r="AF23" s="26">
        <f t="shared" si="1"/>
        <v>6785</v>
      </c>
    </row>
  </sheetData>
  <phoneticPr fontId="10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"/>
  <sheetViews>
    <sheetView tabSelected="1" workbookViewId="0">
      <selection activeCell="I26" sqref="I26"/>
    </sheetView>
  </sheetViews>
  <sheetFormatPr defaultRowHeight="16.5"/>
  <cols>
    <col min="1" max="1" width="19.25" style="46" customWidth="1"/>
    <col min="2" max="16384" width="9" style="46"/>
  </cols>
  <sheetData>
    <row r="1" spans="1:33" ht="51.75" customHeight="1">
      <c r="A1" s="54"/>
      <c r="B1" s="52"/>
      <c r="C1" s="52"/>
      <c r="D1" s="53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3">
      <c r="A2" s="55" t="s">
        <v>82</v>
      </c>
      <c r="B2" s="27" t="s">
        <v>64</v>
      </c>
      <c r="C2" s="56">
        <v>1</v>
      </c>
      <c r="D2" s="56">
        <v>2</v>
      </c>
      <c r="E2" s="64">
        <v>3</v>
      </c>
      <c r="F2" s="47">
        <v>4</v>
      </c>
      <c r="G2" s="56">
        <v>5</v>
      </c>
      <c r="H2" s="56">
        <v>6</v>
      </c>
      <c r="I2" s="56">
        <v>7</v>
      </c>
      <c r="J2" s="56">
        <v>8</v>
      </c>
      <c r="K2" s="56">
        <v>9</v>
      </c>
      <c r="L2" s="64">
        <v>10</v>
      </c>
      <c r="M2" s="47">
        <v>11</v>
      </c>
      <c r="N2" s="56">
        <v>12</v>
      </c>
      <c r="O2" s="56">
        <v>13</v>
      </c>
      <c r="P2" s="56">
        <v>14</v>
      </c>
      <c r="Q2" s="56">
        <v>15</v>
      </c>
      <c r="R2" s="56">
        <v>16</v>
      </c>
      <c r="S2" s="64">
        <v>17</v>
      </c>
      <c r="T2" s="47">
        <v>18</v>
      </c>
      <c r="U2" s="56">
        <v>19</v>
      </c>
      <c r="V2" s="56">
        <v>20</v>
      </c>
      <c r="W2" s="56">
        <v>21</v>
      </c>
      <c r="X2" s="56">
        <v>22</v>
      </c>
      <c r="Y2" s="56">
        <v>23</v>
      </c>
      <c r="Z2" s="64">
        <v>24</v>
      </c>
      <c r="AA2" s="47">
        <v>25</v>
      </c>
      <c r="AB2" s="56">
        <v>26</v>
      </c>
      <c r="AC2" s="56">
        <v>27</v>
      </c>
      <c r="AD2" s="56">
        <v>28</v>
      </c>
      <c r="AE2" s="56">
        <v>29</v>
      </c>
      <c r="AF2" s="56">
        <v>30</v>
      </c>
      <c r="AG2" s="64">
        <v>31</v>
      </c>
    </row>
    <row r="3" spans="1:33">
      <c r="A3" s="55" t="s">
        <v>94</v>
      </c>
      <c r="B3" s="27"/>
      <c r="C3" s="58" t="s">
        <v>95</v>
      </c>
      <c r="D3" s="58" t="s">
        <v>96</v>
      </c>
      <c r="E3" s="65" t="s">
        <v>97</v>
      </c>
      <c r="F3" s="48" t="s">
        <v>98</v>
      </c>
      <c r="G3" s="58" t="s">
        <v>46</v>
      </c>
      <c r="H3" s="58" t="s">
        <v>58</v>
      </c>
      <c r="I3" s="58" t="s">
        <v>40</v>
      </c>
      <c r="J3" s="58" t="s">
        <v>51</v>
      </c>
      <c r="K3" s="58" t="s">
        <v>44</v>
      </c>
      <c r="L3" s="65" t="s">
        <v>53</v>
      </c>
      <c r="M3" s="48" t="s">
        <v>55</v>
      </c>
      <c r="N3" s="58" t="s">
        <v>46</v>
      </c>
      <c r="O3" s="58" t="s">
        <v>58</v>
      </c>
      <c r="P3" s="58" t="s">
        <v>40</v>
      </c>
      <c r="Q3" s="58" t="s">
        <v>51</v>
      </c>
      <c r="R3" s="58" t="s">
        <v>44</v>
      </c>
      <c r="S3" s="65" t="s">
        <v>53</v>
      </c>
      <c r="T3" s="48" t="s">
        <v>55</v>
      </c>
      <c r="U3" s="58" t="s">
        <v>46</v>
      </c>
      <c r="V3" s="58" t="s">
        <v>58</v>
      </c>
      <c r="W3" s="58" t="s">
        <v>40</v>
      </c>
      <c r="X3" s="58" t="s">
        <v>51</v>
      </c>
      <c r="Y3" s="58" t="s">
        <v>44</v>
      </c>
      <c r="Z3" s="65" t="s">
        <v>53</v>
      </c>
      <c r="AA3" s="48" t="s">
        <v>55</v>
      </c>
      <c r="AB3" s="58" t="s">
        <v>46</v>
      </c>
      <c r="AC3" s="58" t="s">
        <v>58</v>
      </c>
      <c r="AD3" s="58" t="s">
        <v>99</v>
      </c>
      <c r="AE3" s="58" t="s">
        <v>51</v>
      </c>
      <c r="AF3" s="58" t="s">
        <v>44</v>
      </c>
      <c r="AG3" s="65" t="s">
        <v>53</v>
      </c>
    </row>
    <row r="4" spans="1:33">
      <c r="A4" s="60" t="s">
        <v>100</v>
      </c>
      <c r="B4" s="40"/>
      <c r="C4" s="61" t="s">
        <v>101</v>
      </c>
      <c r="D4" s="61" t="s">
        <v>102</v>
      </c>
      <c r="E4" s="61" t="s">
        <v>101</v>
      </c>
      <c r="F4" s="61" t="s">
        <v>103</v>
      </c>
      <c r="G4" s="61" t="s">
        <v>104</v>
      </c>
      <c r="H4" s="61" t="s">
        <v>105</v>
      </c>
      <c r="I4" s="61" t="s">
        <v>104</v>
      </c>
      <c r="J4" s="61" t="s">
        <v>103</v>
      </c>
      <c r="K4" s="61" t="s">
        <v>105</v>
      </c>
      <c r="L4" s="61" t="s">
        <v>105</v>
      </c>
      <c r="M4" s="61" t="s">
        <v>101</v>
      </c>
      <c r="N4" s="61" t="s">
        <v>106</v>
      </c>
      <c r="O4" s="61" t="s">
        <v>107</v>
      </c>
      <c r="P4" s="61" t="s">
        <v>101</v>
      </c>
      <c r="Q4" s="61" t="s">
        <v>108</v>
      </c>
      <c r="R4" s="61" t="s">
        <v>88</v>
      </c>
      <c r="S4" s="61" t="s">
        <v>109</v>
      </c>
      <c r="T4" s="61" t="s">
        <v>110</v>
      </c>
      <c r="U4" s="61" t="s">
        <v>101</v>
      </c>
      <c r="V4" s="61" t="s">
        <v>111</v>
      </c>
      <c r="W4" s="61" t="s">
        <v>112</v>
      </c>
      <c r="X4" s="61" t="s">
        <v>101</v>
      </c>
      <c r="Y4" s="61" t="s">
        <v>113</v>
      </c>
      <c r="Z4" s="61" t="s">
        <v>101</v>
      </c>
      <c r="AA4" s="61" t="s">
        <v>88</v>
      </c>
      <c r="AB4" s="61" t="s">
        <v>101</v>
      </c>
      <c r="AC4" s="61" t="s">
        <v>88</v>
      </c>
      <c r="AD4" s="61" t="s">
        <v>101</v>
      </c>
      <c r="AE4" s="61" t="s">
        <v>101</v>
      </c>
      <c r="AF4" s="61" t="s">
        <v>88</v>
      </c>
      <c r="AG4" s="61" t="s">
        <v>103</v>
      </c>
    </row>
    <row r="5" spans="1:33">
      <c r="A5" s="60" t="s">
        <v>10</v>
      </c>
      <c r="B5" s="26">
        <f t="shared" ref="B5:B23" si="0">SUM(C5:AF5)</f>
        <v>8800</v>
      </c>
      <c r="C5" s="28">
        <v>300</v>
      </c>
      <c r="D5" s="28">
        <v>1000</v>
      </c>
      <c r="E5" s="28">
        <v>200</v>
      </c>
      <c r="F5" s="28">
        <v>300</v>
      </c>
      <c r="G5" s="28">
        <v>300</v>
      </c>
      <c r="H5" s="28">
        <v>300</v>
      </c>
      <c r="I5" s="28">
        <v>300</v>
      </c>
      <c r="J5" s="28">
        <v>300</v>
      </c>
      <c r="K5" s="28">
        <v>300</v>
      </c>
      <c r="L5" s="28">
        <v>300</v>
      </c>
      <c r="M5" s="28">
        <v>400</v>
      </c>
      <c r="N5" s="28">
        <v>300</v>
      </c>
      <c r="O5" s="28">
        <v>300</v>
      </c>
      <c r="P5" s="28">
        <v>300</v>
      </c>
      <c r="Q5" s="28">
        <v>300</v>
      </c>
      <c r="R5" s="28">
        <v>300</v>
      </c>
      <c r="S5" s="28">
        <v>300</v>
      </c>
      <c r="T5" s="28">
        <v>300</v>
      </c>
      <c r="U5" s="28">
        <v>200</v>
      </c>
      <c r="V5" s="28">
        <v>200</v>
      </c>
      <c r="W5" s="28">
        <v>200</v>
      </c>
      <c r="X5" s="28">
        <v>200</v>
      </c>
      <c r="Y5" s="28">
        <v>200</v>
      </c>
      <c r="Z5" s="28">
        <v>400</v>
      </c>
      <c r="AA5" s="28">
        <v>300</v>
      </c>
      <c r="AB5" s="28">
        <v>200</v>
      </c>
      <c r="AC5" s="28">
        <v>200</v>
      </c>
      <c r="AD5" s="28">
        <v>200</v>
      </c>
      <c r="AE5" s="28">
        <v>200</v>
      </c>
      <c r="AF5" s="28">
        <v>200</v>
      </c>
      <c r="AG5" s="28">
        <v>200</v>
      </c>
    </row>
    <row r="6" spans="1:33">
      <c r="A6" s="60" t="s">
        <v>9</v>
      </c>
      <c r="B6" s="26">
        <f t="shared" si="0"/>
        <v>40300</v>
      </c>
      <c r="C6" s="28">
        <v>1000</v>
      </c>
      <c r="D6" s="28">
        <v>1000</v>
      </c>
      <c r="E6" s="29">
        <v>1000</v>
      </c>
      <c r="F6" s="29">
        <v>1500</v>
      </c>
      <c r="G6" s="29">
        <v>1000</v>
      </c>
      <c r="H6" s="29">
        <v>1000</v>
      </c>
      <c r="I6" s="29">
        <v>1000</v>
      </c>
      <c r="J6" s="29">
        <v>1000</v>
      </c>
      <c r="K6" s="29">
        <v>1000</v>
      </c>
      <c r="L6" s="29">
        <v>1900</v>
      </c>
      <c r="M6" s="28">
        <v>2000</v>
      </c>
      <c r="N6" s="28">
        <v>1000</v>
      </c>
      <c r="O6" s="28">
        <v>1000</v>
      </c>
      <c r="P6" s="28">
        <v>1000</v>
      </c>
      <c r="Q6" s="28">
        <v>1000</v>
      </c>
      <c r="R6" s="28">
        <v>1000</v>
      </c>
      <c r="S6" s="29">
        <v>2000</v>
      </c>
      <c r="T6" s="29">
        <v>2500</v>
      </c>
      <c r="U6" s="29">
        <v>1000</v>
      </c>
      <c r="V6" s="29">
        <v>1000</v>
      </c>
      <c r="W6" s="29">
        <v>1000</v>
      </c>
      <c r="X6" s="29">
        <v>1000</v>
      </c>
      <c r="Y6" s="29">
        <v>1000</v>
      </c>
      <c r="Z6" s="29">
        <v>2900</v>
      </c>
      <c r="AA6" s="28">
        <v>2000</v>
      </c>
      <c r="AB6" s="28">
        <v>1500</v>
      </c>
      <c r="AC6" s="28">
        <v>1500</v>
      </c>
      <c r="AD6" s="28">
        <v>1500</v>
      </c>
      <c r="AE6" s="28">
        <v>1500</v>
      </c>
      <c r="AF6" s="28">
        <v>1500</v>
      </c>
      <c r="AG6" s="28">
        <v>1500</v>
      </c>
    </row>
    <row r="7" spans="1:33">
      <c r="A7" s="60" t="s">
        <v>5</v>
      </c>
      <c r="B7" s="26">
        <f t="shared" si="0"/>
        <v>52800</v>
      </c>
      <c r="C7" s="28">
        <v>1000</v>
      </c>
      <c r="D7" s="28">
        <v>1000</v>
      </c>
      <c r="E7" s="28">
        <v>2500</v>
      </c>
      <c r="F7" s="28">
        <v>2500</v>
      </c>
      <c r="G7" s="30">
        <v>1500</v>
      </c>
      <c r="H7" s="30">
        <v>1500</v>
      </c>
      <c r="I7" s="30">
        <v>1500</v>
      </c>
      <c r="J7" s="30">
        <v>1500</v>
      </c>
      <c r="K7" s="29">
        <v>2500</v>
      </c>
      <c r="L7" s="29">
        <v>2000</v>
      </c>
      <c r="M7" s="28">
        <v>2500</v>
      </c>
      <c r="N7" s="28">
        <v>1100</v>
      </c>
      <c r="O7" s="28">
        <v>1500</v>
      </c>
      <c r="P7" s="28">
        <v>1100</v>
      </c>
      <c r="Q7" s="28">
        <v>1100</v>
      </c>
      <c r="R7" s="28">
        <v>2100</v>
      </c>
      <c r="S7" s="28">
        <v>2500</v>
      </c>
      <c r="T7" s="28">
        <v>2500</v>
      </c>
      <c r="U7" s="28">
        <v>1500</v>
      </c>
      <c r="V7" s="29">
        <v>1500</v>
      </c>
      <c r="W7" s="29">
        <v>1500</v>
      </c>
      <c r="X7" s="29">
        <v>1500</v>
      </c>
      <c r="Y7" s="29">
        <v>2500</v>
      </c>
      <c r="Z7" s="28">
        <v>2100</v>
      </c>
      <c r="AA7" s="28">
        <v>2300</v>
      </c>
      <c r="AB7" s="29">
        <v>1500</v>
      </c>
      <c r="AC7" s="29">
        <v>1500</v>
      </c>
      <c r="AD7" s="29">
        <v>1500</v>
      </c>
      <c r="AE7" s="28">
        <v>1500</v>
      </c>
      <c r="AF7" s="28">
        <v>2000</v>
      </c>
      <c r="AG7" s="28">
        <v>2000</v>
      </c>
    </row>
    <row r="8" spans="1:33">
      <c r="A8" s="60" t="s">
        <v>28</v>
      </c>
      <c r="B8" s="26">
        <f t="shared" si="0"/>
        <v>39200</v>
      </c>
      <c r="C8" s="29">
        <v>1000</v>
      </c>
      <c r="D8" s="29">
        <v>1000</v>
      </c>
      <c r="E8" s="28">
        <v>1500</v>
      </c>
      <c r="F8" s="28">
        <v>1500</v>
      </c>
      <c r="G8" s="28">
        <v>1100</v>
      </c>
      <c r="H8" s="28">
        <v>1100</v>
      </c>
      <c r="I8" s="28">
        <v>1100</v>
      </c>
      <c r="J8" s="28">
        <v>1100</v>
      </c>
      <c r="K8" s="28">
        <v>1100</v>
      </c>
      <c r="L8" s="28">
        <v>2500</v>
      </c>
      <c r="M8" s="28">
        <v>2200</v>
      </c>
      <c r="N8" s="29">
        <v>1500</v>
      </c>
      <c r="O8" s="29">
        <v>500</v>
      </c>
      <c r="P8" s="29">
        <v>1500</v>
      </c>
      <c r="Q8" s="29">
        <v>500</v>
      </c>
      <c r="R8" s="29">
        <v>1500</v>
      </c>
      <c r="S8" s="28">
        <v>2300</v>
      </c>
      <c r="T8" s="29">
        <v>2900</v>
      </c>
      <c r="U8" s="28">
        <v>1000</v>
      </c>
      <c r="V8" s="28">
        <v>1000</v>
      </c>
      <c r="W8" s="28">
        <v>1000</v>
      </c>
      <c r="X8" s="28">
        <v>1000</v>
      </c>
      <c r="Y8" s="28">
        <v>1000</v>
      </c>
      <c r="Z8" s="29">
        <v>1000</v>
      </c>
      <c r="AA8" s="28">
        <v>1500</v>
      </c>
      <c r="AB8" s="28">
        <v>1100</v>
      </c>
      <c r="AC8" s="28">
        <v>1100</v>
      </c>
      <c r="AD8" s="28">
        <v>1100</v>
      </c>
      <c r="AE8" s="29">
        <v>1500</v>
      </c>
      <c r="AF8" s="28">
        <v>1000</v>
      </c>
      <c r="AG8" s="28">
        <v>1000</v>
      </c>
    </row>
    <row r="9" spans="1:33">
      <c r="A9" s="60" t="s">
        <v>42</v>
      </c>
      <c r="B9" s="26">
        <f t="shared" si="0"/>
        <v>0</v>
      </c>
      <c r="C9" s="28"/>
      <c r="D9" s="28"/>
      <c r="E9" s="28"/>
      <c r="F9" s="28"/>
      <c r="G9" s="30"/>
      <c r="H9" s="31"/>
      <c r="I9" s="28"/>
      <c r="J9" s="28"/>
      <c r="K9" s="28"/>
      <c r="L9" s="28"/>
      <c r="M9" s="29"/>
      <c r="N9" s="29"/>
      <c r="O9" s="29"/>
      <c r="P9" s="28"/>
      <c r="Q9" s="28"/>
      <c r="R9" s="28"/>
      <c r="S9" s="28"/>
      <c r="T9" s="29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</row>
    <row r="10" spans="1:33">
      <c r="A10" s="60" t="s">
        <v>22</v>
      </c>
      <c r="B10" s="26">
        <f t="shared" si="0"/>
        <v>0</v>
      </c>
      <c r="C10" s="28"/>
      <c r="D10" s="28"/>
      <c r="E10" s="28"/>
      <c r="F10" s="28"/>
      <c r="G10" s="30"/>
      <c r="H10" s="31"/>
      <c r="I10" s="28"/>
      <c r="J10" s="28"/>
      <c r="K10" s="28"/>
      <c r="L10" s="28"/>
      <c r="M10" s="29"/>
      <c r="N10" s="29"/>
      <c r="O10" s="29"/>
      <c r="P10" s="28"/>
      <c r="Q10" s="28"/>
      <c r="R10" s="28"/>
      <c r="S10" s="28"/>
      <c r="T10" s="29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</row>
    <row r="11" spans="1:33">
      <c r="A11" s="60" t="s">
        <v>15</v>
      </c>
      <c r="B11" s="26">
        <f t="shared" si="0"/>
        <v>0</v>
      </c>
      <c r="C11" s="28"/>
      <c r="D11" s="28"/>
      <c r="E11" s="28"/>
      <c r="F11" s="28"/>
      <c r="G11" s="30"/>
      <c r="H11" s="31"/>
      <c r="I11" s="28"/>
      <c r="J11" s="28"/>
      <c r="K11" s="28"/>
      <c r="L11" s="28"/>
      <c r="M11" s="29"/>
      <c r="N11" s="29"/>
      <c r="O11" s="29"/>
      <c r="P11" s="28"/>
      <c r="Q11" s="28"/>
      <c r="R11" s="28"/>
      <c r="S11" s="28"/>
      <c r="T11" s="29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</row>
    <row r="12" spans="1:33">
      <c r="A12" s="60" t="s">
        <v>18</v>
      </c>
      <c r="B12" s="26">
        <f t="shared" si="0"/>
        <v>0</v>
      </c>
      <c r="C12" s="28"/>
      <c r="D12" s="28"/>
      <c r="E12" s="28"/>
      <c r="F12" s="28"/>
      <c r="G12" s="30"/>
      <c r="H12" s="31"/>
      <c r="I12" s="28"/>
      <c r="J12" s="28"/>
      <c r="K12" s="28"/>
      <c r="L12" s="28"/>
      <c r="M12" s="29"/>
      <c r="N12" s="29"/>
      <c r="O12" s="29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</row>
    <row r="13" spans="1:33">
      <c r="A13" s="60" t="s">
        <v>6</v>
      </c>
      <c r="B13" s="26">
        <f t="shared" si="0"/>
        <v>0</v>
      </c>
      <c r="C13" s="28"/>
      <c r="D13" s="28"/>
      <c r="E13" s="28"/>
      <c r="F13" s="28"/>
      <c r="G13" s="30"/>
      <c r="H13" s="31"/>
      <c r="I13" s="28"/>
      <c r="J13" s="28"/>
      <c r="K13" s="28"/>
      <c r="L13" s="28"/>
      <c r="M13" s="29"/>
      <c r="N13" s="29"/>
      <c r="O13" s="29"/>
      <c r="P13" s="28"/>
      <c r="Q13" s="28"/>
      <c r="R13" s="30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</row>
    <row r="14" spans="1:33">
      <c r="A14" s="60" t="s">
        <v>52</v>
      </c>
      <c r="B14" s="26">
        <f t="shared" si="0"/>
        <v>0</v>
      </c>
      <c r="C14" s="28"/>
      <c r="D14" s="28"/>
      <c r="E14" s="28"/>
      <c r="F14" s="28"/>
      <c r="G14" s="30"/>
      <c r="H14" s="31"/>
      <c r="I14" s="28"/>
      <c r="J14" s="28"/>
      <c r="K14" s="28"/>
      <c r="L14" s="28"/>
      <c r="M14" s="29"/>
      <c r="N14" s="29"/>
      <c r="O14" s="29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</row>
    <row r="15" spans="1:33">
      <c r="A15" s="60" t="s">
        <v>62</v>
      </c>
      <c r="B15" s="26">
        <f t="shared" si="0"/>
        <v>0</v>
      </c>
      <c r="C15" s="28"/>
      <c r="D15" s="28"/>
      <c r="E15" s="28"/>
      <c r="F15" s="28"/>
      <c r="G15" s="30"/>
      <c r="H15" s="31"/>
      <c r="I15" s="28"/>
      <c r="J15" s="28"/>
      <c r="K15" s="28"/>
      <c r="L15" s="28"/>
      <c r="M15" s="29"/>
      <c r="N15" s="29"/>
      <c r="O15" s="29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</row>
    <row r="16" spans="1:33">
      <c r="A16" s="60" t="s">
        <v>29</v>
      </c>
      <c r="B16" s="26">
        <f t="shared" si="0"/>
        <v>0</v>
      </c>
      <c r="C16" s="28"/>
      <c r="D16" s="28"/>
      <c r="E16" s="28"/>
      <c r="F16" s="28"/>
      <c r="G16" s="30"/>
      <c r="H16" s="31"/>
      <c r="I16" s="28"/>
      <c r="J16" s="28"/>
      <c r="K16" s="37"/>
      <c r="L16" s="28"/>
      <c r="M16" s="29"/>
      <c r="N16" s="29"/>
      <c r="O16" s="29"/>
      <c r="P16" s="28"/>
      <c r="Q16" s="28"/>
      <c r="R16" s="37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>
      <c r="A17" s="60" t="s">
        <v>54</v>
      </c>
      <c r="B17" s="26">
        <f t="shared" si="0"/>
        <v>24600</v>
      </c>
      <c r="C17" s="28">
        <v>400</v>
      </c>
      <c r="D17" s="28">
        <v>400</v>
      </c>
      <c r="E17" s="28">
        <v>1000</v>
      </c>
      <c r="F17" s="28">
        <v>1000</v>
      </c>
      <c r="G17" s="30">
        <v>500</v>
      </c>
      <c r="H17" s="30">
        <v>500</v>
      </c>
      <c r="I17" s="30">
        <v>500</v>
      </c>
      <c r="J17" s="30">
        <v>500</v>
      </c>
      <c r="K17" s="30">
        <v>500</v>
      </c>
      <c r="L17" s="28">
        <v>1000</v>
      </c>
      <c r="M17" s="29">
        <v>1000</v>
      </c>
      <c r="N17" s="29">
        <v>1000</v>
      </c>
      <c r="O17" s="29">
        <v>1000</v>
      </c>
      <c r="P17" s="29">
        <v>1000</v>
      </c>
      <c r="Q17" s="28">
        <v>1100</v>
      </c>
      <c r="R17" s="28">
        <v>1100</v>
      </c>
      <c r="S17" s="28">
        <v>1300</v>
      </c>
      <c r="T17" s="29">
        <v>1000</v>
      </c>
      <c r="U17" s="29">
        <v>1000</v>
      </c>
      <c r="V17" s="29">
        <v>1000</v>
      </c>
      <c r="W17" s="29">
        <v>1000</v>
      </c>
      <c r="X17" s="29">
        <v>1000</v>
      </c>
      <c r="Y17" s="29">
        <v>1000</v>
      </c>
      <c r="Z17" s="28">
        <v>1000</v>
      </c>
      <c r="AA17" s="28">
        <v>1300</v>
      </c>
      <c r="AB17" s="28">
        <v>500</v>
      </c>
      <c r="AC17" s="28">
        <v>500</v>
      </c>
      <c r="AD17" s="28">
        <v>500</v>
      </c>
      <c r="AE17" s="28">
        <v>500</v>
      </c>
      <c r="AF17" s="28">
        <v>500</v>
      </c>
      <c r="AG17" s="28">
        <v>500</v>
      </c>
    </row>
    <row r="18" spans="1:33">
      <c r="A18" s="60" t="s">
        <v>43</v>
      </c>
      <c r="B18" s="26">
        <f t="shared" si="0"/>
        <v>325</v>
      </c>
      <c r="C18" s="28">
        <v>5</v>
      </c>
      <c r="D18" s="28">
        <v>5</v>
      </c>
      <c r="E18" s="28">
        <v>15</v>
      </c>
      <c r="F18" s="28">
        <v>10</v>
      </c>
      <c r="G18" s="28">
        <v>5</v>
      </c>
      <c r="H18" s="28">
        <v>5</v>
      </c>
      <c r="I18" s="28">
        <v>5</v>
      </c>
      <c r="J18" s="28">
        <v>5</v>
      </c>
      <c r="K18" s="28">
        <v>5</v>
      </c>
      <c r="L18" s="28">
        <v>10</v>
      </c>
      <c r="M18" s="28">
        <v>10</v>
      </c>
      <c r="N18" s="28">
        <v>5</v>
      </c>
      <c r="O18" s="28">
        <v>5</v>
      </c>
      <c r="P18" s="28">
        <v>5</v>
      </c>
      <c r="Q18" s="28">
        <v>5</v>
      </c>
      <c r="R18" s="28">
        <v>5</v>
      </c>
      <c r="S18" s="28">
        <v>10</v>
      </c>
      <c r="T18" s="28">
        <v>50</v>
      </c>
      <c r="U18" s="28">
        <v>10</v>
      </c>
      <c r="V18" s="28">
        <v>10</v>
      </c>
      <c r="W18" s="28">
        <v>10</v>
      </c>
      <c r="X18" s="28">
        <v>10</v>
      </c>
      <c r="Y18" s="28">
        <v>10</v>
      </c>
      <c r="Z18" s="28">
        <v>10</v>
      </c>
      <c r="AA18" s="28">
        <v>50</v>
      </c>
      <c r="AB18" s="28">
        <v>10</v>
      </c>
      <c r="AC18" s="28">
        <v>10</v>
      </c>
      <c r="AD18" s="28">
        <v>10</v>
      </c>
      <c r="AE18" s="28">
        <v>10</v>
      </c>
      <c r="AF18" s="28">
        <v>10</v>
      </c>
      <c r="AG18" s="28">
        <v>10</v>
      </c>
    </row>
    <row r="19" spans="1:33">
      <c r="A19" s="63" t="s">
        <v>12</v>
      </c>
      <c r="B19" s="26">
        <f t="shared" si="0"/>
        <v>2000</v>
      </c>
      <c r="C19" s="28">
        <v>100</v>
      </c>
      <c r="D19" s="28">
        <v>100</v>
      </c>
      <c r="E19" s="28">
        <v>100</v>
      </c>
      <c r="F19" s="28">
        <v>100</v>
      </c>
      <c r="G19" s="28">
        <v>50</v>
      </c>
      <c r="H19" s="28">
        <v>50</v>
      </c>
      <c r="I19" s="28">
        <v>50</v>
      </c>
      <c r="J19" s="28">
        <v>50</v>
      </c>
      <c r="K19" s="28">
        <v>50</v>
      </c>
      <c r="L19" s="28">
        <v>100</v>
      </c>
      <c r="M19" s="28">
        <v>100</v>
      </c>
      <c r="N19" s="28">
        <v>50</v>
      </c>
      <c r="O19" s="28">
        <v>50</v>
      </c>
      <c r="P19" s="28">
        <v>50</v>
      </c>
      <c r="Q19" s="28">
        <v>50</v>
      </c>
      <c r="R19" s="28">
        <v>50</v>
      </c>
      <c r="S19" s="28">
        <v>100</v>
      </c>
      <c r="T19" s="28">
        <v>100</v>
      </c>
      <c r="U19" s="28">
        <v>50</v>
      </c>
      <c r="V19" s="28">
        <v>50</v>
      </c>
      <c r="W19" s="28">
        <v>50</v>
      </c>
      <c r="X19" s="28">
        <v>50</v>
      </c>
      <c r="Y19" s="28">
        <v>50</v>
      </c>
      <c r="Z19" s="28">
        <v>100</v>
      </c>
      <c r="AA19" s="28">
        <v>100</v>
      </c>
      <c r="AB19" s="28">
        <v>50</v>
      </c>
      <c r="AC19" s="28">
        <v>50</v>
      </c>
      <c r="AD19" s="28">
        <v>50</v>
      </c>
      <c r="AE19" s="28">
        <v>50</v>
      </c>
      <c r="AF19" s="28">
        <v>50</v>
      </c>
      <c r="AG19" s="28">
        <v>50</v>
      </c>
    </row>
    <row r="20" spans="1:33">
      <c r="A20" s="60" t="s">
        <v>39</v>
      </c>
      <c r="B20" s="26">
        <f t="shared" si="0"/>
        <v>1680</v>
      </c>
      <c r="C20" s="28">
        <v>10</v>
      </c>
      <c r="D20" s="28">
        <v>10</v>
      </c>
      <c r="E20" s="28">
        <v>120</v>
      </c>
      <c r="F20" s="28">
        <v>130</v>
      </c>
      <c r="G20" s="30">
        <v>10</v>
      </c>
      <c r="H20" s="30">
        <v>10</v>
      </c>
      <c r="I20" s="30">
        <v>10</v>
      </c>
      <c r="J20" s="30">
        <v>10</v>
      </c>
      <c r="K20" s="30">
        <v>10</v>
      </c>
      <c r="L20" s="28">
        <v>100</v>
      </c>
      <c r="M20" s="29">
        <v>100</v>
      </c>
      <c r="N20" s="29">
        <v>20</v>
      </c>
      <c r="O20" s="29">
        <v>20</v>
      </c>
      <c r="P20" s="29">
        <v>20</v>
      </c>
      <c r="Q20" s="29">
        <v>20</v>
      </c>
      <c r="R20" s="29">
        <v>20</v>
      </c>
      <c r="S20" s="28">
        <v>100</v>
      </c>
      <c r="T20" s="29">
        <v>50</v>
      </c>
      <c r="U20" s="28">
        <v>60</v>
      </c>
      <c r="V20" s="28">
        <v>60</v>
      </c>
      <c r="W20" s="28">
        <v>60</v>
      </c>
      <c r="X20" s="28">
        <v>60</v>
      </c>
      <c r="Y20" s="28">
        <v>60</v>
      </c>
      <c r="Z20" s="28">
        <v>150</v>
      </c>
      <c r="AA20" s="28">
        <v>160</v>
      </c>
      <c r="AB20" s="28">
        <v>60</v>
      </c>
      <c r="AC20" s="28">
        <v>60</v>
      </c>
      <c r="AD20" s="28">
        <v>60</v>
      </c>
      <c r="AE20" s="28">
        <v>60</v>
      </c>
      <c r="AF20" s="28">
        <v>60</v>
      </c>
      <c r="AG20" s="28">
        <v>60</v>
      </c>
    </row>
    <row r="21" spans="1:33">
      <c r="A21" s="60" t="s">
        <v>59</v>
      </c>
      <c r="B21" s="26">
        <f t="shared" si="0"/>
        <v>230</v>
      </c>
      <c r="C21" s="28">
        <v>5</v>
      </c>
      <c r="D21" s="28">
        <v>5</v>
      </c>
      <c r="E21" s="28">
        <v>5</v>
      </c>
      <c r="F21" s="28">
        <v>10</v>
      </c>
      <c r="G21" s="30">
        <v>10</v>
      </c>
      <c r="H21" s="31">
        <v>10</v>
      </c>
      <c r="I21" s="28">
        <v>10</v>
      </c>
      <c r="J21" s="28">
        <v>5</v>
      </c>
      <c r="K21" s="28">
        <v>5</v>
      </c>
      <c r="L21" s="28">
        <v>10</v>
      </c>
      <c r="M21" s="29">
        <v>20</v>
      </c>
      <c r="N21" s="29">
        <v>5</v>
      </c>
      <c r="O21" s="29">
        <v>5</v>
      </c>
      <c r="P21" s="28">
        <v>5</v>
      </c>
      <c r="Q21" s="28">
        <v>5</v>
      </c>
      <c r="R21" s="28">
        <v>5</v>
      </c>
      <c r="S21" s="28">
        <v>20</v>
      </c>
      <c r="T21" s="29">
        <v>15</v>
      </c>
      <c r="U21" s="28">
        <v>5</v>
      </c>
      <c r="V21" s="28">
        <v>5</v>
      </c>
      <c r="W21" s="28">
        <v>5</v>
      </c>
      <c r="X21" s="28">
        <v>5</v>
      </c>
      <c r="Y21" s="28">
        <v>5</v>
      </c>
      <c r="Z21" s="28">
        <v>15</v>
      </c>
      <c r="AA21" s="28">
        <v>10</v>
      </c>
      <c r="AB21" s="28">
        <v>5</v>
      </c>
      <c r="AC21" s="28">
        <v>5</v>
      </c>
      <c r="AD21" s="28">
        <v>5</v>
      </c>
      <c r="AE21" s="28">
        <v>5</v>
      </c>
      <c r="AF21" s="28">
        <v>5</v>
      </c>
      <c r="AG21" s="28">
        <v>5</v>
      </c>
    </row>
    <row r="22" spans="1:33">
      <c r="A22" s="63" t="s">
        <v>7</v>
      </c>
      <c r="B22" s="26">
        <f t="shared" si="0"/>
        <v>0</v>
      </c>
      <c r="C22" s="28"/>
      <c r="D22" s="28"/>
      <c r="E22" s="28"/>
      <c r="F22" s="28"/>
      <c r="G22" s="30"/>
      <c r="H22" s="31"/>
      <c r="I22" s="28"/>
      <c r="J22" s="28"/>
      <c r="K22" s="28"/>
      <c r="L22" s="28"/>
      <c r="M22" s="29"/>
      <c r="N22" s="29"/>
      <c r="O22" s="29"/>
      <c r="P22" s="28"/>
      <c r="Q22" s="30"/>
      <c r="R22" s="28"/>
      <c r="S22" s="28"/>
      <c r="T22" s="29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</row>
    <row r="23" spans="1:33">
      <c r="A23" s="55" t="s">
        <v>63</v>
      </c>
      <c r="B23" s="26">
        <f t="shared" si="0"/>
        <v>169935</v>
      </c>
      <c r="C23" s="26">
        <f t="shared" ref="C23:AG23" si="1">SUM(C5:C22)</f>
        <v>3820</v>
      </c>
      <c r="D23" s="26">
        <f t="shared" si="1"/>
        <v>4520</v>
      </c>
      <c r="E23" s="26">
        <f t="shared" si="1"/>
        <v>6440</v>
      </c>
      <c r="F23" s="26">
        <f>SUM(F5:F22)</f>
        <v>7050</v>
      </c>
      <c r="G23" s="26">
        <f t="shared" si="1"/>
        <v>4475</v>
      </c>
      <c r="H23" s="26">
        <f t="shared" si="1"/>
        <v>4475</v>
      </c>
      <c r="I23" s="26">
        <f t="shared" si="1"/>
        <v>4475</v>
      </c>
      <c r="J23" s="26">
        <f t="shared" si="1"/>
        <v>4470</v>
      </c>
      <c r="K23" s="26">
        <f t="shared" si="1"/>
        <v>5470</v>
      </c>
      <c r="L23" s="26">
        <f t="shared" si="1"/>
        <v>7920</v>
      </c>
      <c r="M23" s="26">
        <f t="shared" si="1"/>
        <v>8330</v>
      </c>
      <c r="N23" s="26">
        <f t="shared" si="1"/>
        <v>4980</v>
      </c>
      <c r="O23" s="26">
        <f t="shared" si="1"/>
        <v>4380</v>
      </c>
      <c r="P23" s="26">
        <f t="shared" si="1"/>
        <v>4980</v>
      </c>
      <c r="Q23" s="26">
        <f t="shared" si="1"/>
        <v>4080</v>
      </c>
      <c r="R23" s="26">
        <f t="shared" si="1"/>
        <v>6080</v>
      </c>
      <c r="S23" s="26">
        <f t="shared" si="1"/>
        <v>8630</v>
      </c>
      <c r="T23" s="26">
        <f t="shared" si="1"/>
        <v>9415</v>
      </c>
      <c r="U23" s="26">
        <f t="shared" si="1"/>
        <v>4825</v>
      </c>
      <c r="V23" s="26">
        <f t="shared" si="1"/>
        <v>4825</v>
      </c>
      <c r="W23" s="26">
        <f t="shared" si="1"/>
        <v>4825</v>
      </c>
      <c r="X23" s="26">
        <f t="shared" si="1"/>
        <v>4825</v>
      </c>
      <c r="Y23" s="26">
        <f t="shared" si="1"/>
        <v>5825</v>
      </c>
      <c r="Z23" s="26">
        <f t="shared" si="1"/>
        <v>7675</v>
      </c>
      <c r="AA23" s="26">
        <f t="shared" si="1"/>
        <v>7720</v>
      </c>
      <c r="AB23" s="26">
        <f t="shared" si="1"/>
        <v>4925</v>
      </c>
      <c r="AC23" s="26">
        <f t="shared" si="1"/>
        <v>4925</v>
      </c>
      <c r="AD23" s="26">
        <f t="shared" si="1"/>
        <v>4925</v>
      </c>
      <c r="AE23" s="26">
        <f t="shared" si="1"/>
        <v>5325</v>
      </c>
      <c r="AF23" s="26">
        <f t="shared" si="1"/>
        <v>5325</v>
      </c>
      <c r="AG23" s="26">
        <f t="shared" si="1"/>
        <v>5325</v>
      </c>
    </row>
  </sheetData>
  <phoneticPr fontId="10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24"/>
  <sheetViews>
    <sheetView zoomScale="85" zoomScaleNormal="85" zoomScaleSheetLayoutView="75" workbookViewId="0">
      <selection activeCell="AF22" sqref="AF22"/>
    </sheetView>
  </sheetViews>
  <sheetFormatPr defaultColWidth="9" defaultRowHeight="16.5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>
      <c r="B1" s="1"/>
      <c r="C1" s="1"/>
      <c r="F1" s="1" t="s">
        <v>35</v>
      </c>
    </row>
    <row r="2" spans="1:35" ht="26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>
      <c r="A3" s="4" t="s">
        <v>47</v>
      </c>
      <c r="B3" s="4"/>
      <c r="C3" s="4"/>
      <c r="D3" s="4" t="s">
        <v>64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/>
      <c r="AH3" s="4"/>
      <c r="AI3" s="4"/>
    </row>
    <row r="4" spans="1:35">
      <c r="A4" s="4" t="s">
        <v>49</v>
      </c>
      <c r="B4" s="4"/>
      <c r="C4" s="4"/>
      <c r="D4" s="4"/>
      <c r="E4" s="5" t="s">
        <v>58</v>
      </c>
      <c r="F4" s="5" t="s">
        <v>40</v>
      </c>
      <c r="G4" s="5" t="s">
        <v>51</v>
      </c>
      <c r="H4" s="5" t="s">
        <v>44</v>
      </c>
      <c r="I4" s="5" t="s">
        <v>53</v>
      </c>
      <c r="J4" s="5" t="s">
        <v>55</v>
      </c>
      <c r="K4" s="5" t="s">
        <v>46</v>
      </c>
      <c r="L4" s="5" t="s">
        <v>58</v>
      </c>
      <c r="M4" s="5" t="s">
        <v>40</v>
      </c>
      <c r="N4" s="5" t="s">
        <v>51</v>
      </c>
      <c r="O4" s="5" t="s">
        <v>44</v>
      </c>
      <c r="P4" s="5" t="s">
        <v>53</v>
      </c>
      <c r="Q4" s="5" t="s">
        <v>55</v>
      </c>
      <c r="R4" s="5" t="s">
        <v>46</v>
      </c>
      <c r="S4" s="5" t="s">
        <v>58</v>
      </c>
      <c r="T4" s="5" t="s">
        <v>40</v>
      </c>
      <c r="U4" s="5" t="s">
        <v>51</v>
      </c>
      <c r="V4" s="5" t="s">
        <v>44</v>
      </c>
      <c r="W4" s="5" t="s">
        <v>53</v>
      </c>
      <c r="X4" s="5" t="s">
        <v>55</v>
      </c>
      <c r="Y4" s="5" t="s">
        <v>46</v>
      </c>
      <c r="Z4" s="5" t="s">
        <v>58</v>
      </c>
      <c r="AA4" s="5" t="s">
        <v>40</v>
      </c>
      <c r="AB4" s="5" t="s">
        <v>51</v>
      </c>
      <c r="AC4" s="5" t="s">
        <v>44</v>
      </c>
      <c r="AD4" s="5" t="s">
        <v>53</v>
      </c>
      <c r="AE4" s="5" t="s">
        <v>55</v>
      </c>
      <c r="AF4" s="5" t="s">
        <v>46</v>
      </c>
      <c r="AG4" s="5"/>
      <c r="AH4" s="5"/>
      <c r="AI4" s="5"/>
    </row>
    <row r="5" spans="1:35" ht="30" customHeight="1">
      <c r="A5" s="5" t="s">
        <v>57</v>
      </c>
      <c r="B5" s="5" t="s">
        <v>50</v>
      </c>
      <c r="C5" s="5"/>
      <c r="D5" s="6"/>
      <c r="E5" s="7" t="s">
        <v>61</v>
      </c>
      <c r="F5" s="7" t="s">
        <v>61</v>
      </c>
      <c r="G5" s="7" t="s">
        <v>61</v>
      </c>
      <c r="H5" s="7" t="s">
        <v>3</v>
      </c>
      <c r="I5" s="7" t="s">
        <v>61</v>
      </c>
      <c r="J5" s="7" t="s">
        <v>61</v>
      </c>
      <c r="K5" s="7" t="s">
        <v>41</v>
      </c>
      <c r="L5" s="7" t="s">
        <v>61</v>
      </c>
      <c r="M5" s="7" t="s">
        <v>61</v>
      </c>
      <c r="N5" s="7" t="s">
        <v>61</v>
      </c>
      <c r="O5" s="7" t="s">
        <v>61</v>
      </c>
      <c r="P5" s="7" t="s">
        <v>61</v>
      </c>
      <c r="Q5" s="7" t="s">
        <v>61</v>
      </c>
      <c r="R5" s="7" t="s">
        <v>21</v>
      </c>
      <c r="S5" s="9" t="s">
        <v>27</v>
      </c>
      <c r="T5" s="7" t="s">
        <v>61</v>
      </c>
      <c r="U5" s="7" t="s">
        <v>61</v>
      </c>
      <c r="V5" s="7" t="s">
        <v>61</v>
      </c>
      <c r="W5" s="9" t="s">
        <v>24</v>
      </c>
      <c r="X5" s="7" t="s">
        <v>61</v>
      </c>
      <c r="Y5" s="7" t="s">
        <v>61</v>
      </c>
      <c r="Z5" s="7" t="s">
        <v>61</v>
      </c>
      <c r="AA5" s="7" t="s">
        <v>61</v>
      </c>
      <c r="AB5" s="7" t="s">
        <v>61</v>
      </c>
      <c r="AC5" s="7" t="s">
        <v>56</v>
      </c>
      <c r="AD5" s="7" t="s">
        <v>61</v>
      </c>
      <c r="AE5" s="7" t="s">
        <v>20</v>
      </c>
      <c r="AF5" s="7" t="s">
        <v>56</v>
      </c>
      <c r="AG5" s="7"/>
      <c r="AH5" s="7"/>
      <c r="AI5" s="7"/>
    </row>
    <row r="6" spans="1:35" ht="21.6" customHeight="1">
      <c r="A6" s="5"/>
      <c r="B6" s="10" t="s">
        <v>10</v>
      </c>
      <c r="C6" s="5"/>
      <c r="D6" s="11">
        <f t="shared" ref="D6:D18" si="0">SUM(E6:AI6)</f>
        <v>0</v>
      </c>
      <c r="E6" s="12"/>
      <c r="F6" s="12"/>
      <c r="G6" s="12"/>
      <c r="H6" s="12"/>
      <c r="I6" s="13"/>
      <c r="J6" s="14"/>
      <c r="K6" s="12"/>
      <c r="L6" s="12"/>
      <c r="M6" s="12"/>
      <c r="N6" s="12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>
      <c r="A7" s="5"/>
      <c r="B7" s="5" t="s">
        <v>9</v>
      </c>
      <c r="C7" s="5"/>
      <c r="D7" s="11">
        <f t="shared" si="0"/>
        <v>29555</v>
      </c>
      <c r="E7" s="12">
        <v>1550</v>
      </c>
      <c r="F7" s="12">
        <v>1213</v>
      </c>
      <c r="G7" s="12">
        <v>750</v>
      </c>
      <c r="H7" s="12">
        <v>850</v>
      </c>
      <c r="I7" s="13">
        <v>1300</v>
      </c>
      <c r="J7" s="14">
        <v>1019</v>
      </c>
      <c r="K7" s="12">
        <v>1000</v>
      </c>
      <c r="L7" s="12">
        <v>900</v>
      </c>
      <c r="M7" s="12">
        <v>1050</v>
      </c>
      <c r="N7" s="12">
        <v>1312</v>
      </c>
      <c r="O7" s="15">
        <v>1300</v>
      </c>
      <c r="P7" s="15">
        <v>1150</v>
      </c>
      <c r="Q7" s="15">
        <v>1650</v>
      </c>
      <c r="R7" s="12">
        <v>1030</v>
      </c>
      <c r="S7" s="12">
        <v>650</v>
      </c>
      <c r="T7" s="12">
        <v>850</v>
      </c>
      <c r="U7" s="12">
        <v>900</v>
      </c>
      <c r="V7" s="15">
        <v>1028</v>
      </c>
      <c r="W7" s="12">
        <v>1000</v>
      </c>
      <c r="X7" s="12">
        <v>1000</v>
      </c>
      <c r="Y7" s="12">
        <v>880</v>
      </c>
      <c r="Z7" s="12">
        <v>669</v>
      </c>
      <c r="AA7" s="12">
        <v>1000</v>
      </c>
      <c r="AB7" s="12">
        <v>105</v>
      </c>
      <c r="AC7" s="12">
        <v>900</v>
      </c>
      <c r="AD7" s="12">
        <v>1669</v>
      </c>
      <c r="AE7" s="12">
        <v>1700</v>
      </c>
      <c r="AF7" s="12">
        <v>1130</v>
      </c>
      <c r="AG7" s="12"/>
      <c r="AH7" s="12"/>
      <c r="AI7" s="12"/>
    </row>
    <row r="8" spans="1:35" ht="21.6" customHeight="1">
      <c r="A8" s="5"/>
      <c r="B8" s="10" t="s">
        <v>5</v>
      </c>
      <c r="C8" s="5"/>
      <c r="D8" s="11">
        <f t="shared" si="0"/>
        <v>29820</v>
      </c>
      <c r="E8" s="12">
        <v>1080</v>
      </c>
      <c r="F8" s="12">
        <v>1250</v>
      </c>
      <c r="G8" s="12">
        <v>1085</v>
      </c>
      <c r="H8" s="12">
        <v>588</v>
      </c>
      <c r="I8" s="13">
        <v>1130</v>
      </c>
      <c r="J8" s="14">
        <v>1300</v>
      </c>
      <c r="K8" s="12">
        <v>1085</v>
      </c>
      <c r="L8" s="12">
        <v>1025</v>
      </c>
      <c r="M8" s="12">
        <v>1260</v>
      </c>
      <c r="N8" s="12">
        <v>1300</v>
      </c>
      <c r="O8" s="15">
        <v>1214</v>
      </c>
      <c r="P8" s="15">
        <v>1285</v>
      </c>
      <c r="Q8" s="15">
        <v>1400</v>
      </c>
      <c r="R8" s="12">
        <v>760</v>
      </c>
      <c r="S8" s="12">
        <v>794</v>
      </c>
      <c r="T8" s="12">
        <v>841</v>
      </c>
      <c r="U8" s="12">
        <v>1100</v>
      </c>
      <c r="V8" s="15">
        <v>910</v>
      </c>
      <c r="W8" s="12">
        <v>1451</v>
      </c>
      <c r="X8" s="12">
        <v>683</v>
      </c>
      <c r="Y8" s="12">
        <v>1080</v>
      </c>
      <c r="Z8" s="12">
        <v>910</v>
      </c>
      <c r="AA8" s="12">
        <v>845</v>
      </c>
      <c r="AB8" s="12">
        <v>660</v>
      </c>
      <c r="AC8" s="12">
        <v>1220</v>
      </c>
      <c r="AD8" s="12">
        <v>910</v>
      </c>
      <c r="AE8" s="12">
        <v>1944</v>
      </c>
      <c r="AF8" s="12">
        <v>710</v>
      </c>
      <c r="AG8" s="12"/>
      <c r="AH8" s="12"/>
      <c r="AI8" s="12"/>
    </row>
    <row r="9" spans="1:35" ht="21.6" customHeight="1">
      <c r="A9" s="5"/>
      <c r="B9" s="5" t="s">
        <v>28</v>
      </c>
      <c r="C9" s="5"/>
      <c r="D9" s="11">
        <f t="shared" si="0"/>
        <v>20366</v>
      </c>
      <c r="E9" s="12">
        <v>1275</v>
      </c>
      <c r="F9" s="12">
        <v>981</v>
      </c>
      <c r="G9" s="12">
        <v>553</v>
      </c>
      <c r="H9" s="12">
        <v>207</v>
      </c>
      <c r="I9" s="13">
        <v>1055</v>
      </c>
      <c r="J9" s="14">
        <v>911</v>
      </c>
      <c r="K9" s="12">
        <v>569</v>
      </c>
      <c r="L9" s="12">
        <f>36+240</f>
        <v>276</v>
      </c>
      <c r="M9" s="12">
        <f>600+205</f>
        <v>805</v>
      </c>
      <c r="N9" s="12">
        <f>736+385</f>
        <v>1121</v>
      </c>
      <c r="O9" s="15">
        <v>673</v>
      </c>
      <c r="P9" s="15">
        <v>597</v>
      </c>
      <c r="Q9" s="15">
        <f>245+900</f>
        <v>1145</v>
      </c>
      <c r="R9" s="12">
        <f>355+536</f>
        <v>891</v>
      </c>
      <c r="S9" s="12">
        <f>391+40</f>
        <v>431</v>
      </c>
      <c r="T9" s="12">
        <f>33+290</f>
        <v>323</v>
      </c>
      <c r="U9" s="12">
        <f>205+600</f>
        <v>805</v>
      </c>
      <c r="V9" s="15">
        <f>355+531</f>
        <v>886</v>
      </c>
      <c r="W9" s="12">
        <f>441+90</f>
        <v>531</v>
      </c>
      <c r="X9" s="12">
        <f>63+310</f>
        <v>373</v>
      </c>
      <c r="Y9" s="12">
        <f>175+540</f>
        <v>715</v>
      </c>
      <c r="Z9" s="12">
        <f>355+502</f>
        <v>857</v>
      </c>
      <c r="AA9" s="12">
        <f>67+371</f>
        <v>438</v>
      </c>
      <c r="AB9" s="12">
        <f>68+360</f>
        <v>428</v>
      </c>
      <c r="AC9" s="12">
        <f>205+1200</f>
        <v>1405</v>
      </c>
      <c r="AD9" s="12">
        <f>355+502</f>
        <v>857</v>
      </c>
      <c r="AE9" s="12">
        <f>687+132</f>
        <v>819</v>
      </c>
      <c r="AF9" s="12">
        <f>59+380</f>
        <v>439</v>
      </c>
      <c r="AG9" s="12"/>
      <c r="AH9" s="12"/>
      <c r="AI9" s="12"/>
    </row>
    <row r="10" spans="1:35" ht="21.6" customHeight="1">
      <c r="A10" s="5"/>
      <c r="B10" s="5" t="s">
        <v>42</v>
      </c>
      <c r="C10" s="5"/>
      <c r="D10" s="11">
        <f t="shared" si="0"/>
        <v>0</v>
      </c>
      <c r="E10" s="12"/>
      <c r="F10" s="12"/>
      <c r="G10" s="12"/>
      <c r="H10" s="12"/>
      <c r="I10" s="13"/>
      <c r="J10" s="14"/>
      <c r="K10" s="12"/>
      <c r="L10" s="12"/>
      <c r="M10" s="12"/>
      <c r="N10" s="12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>
      <c r="A11" s="5"/>
      <c r="B11" s="5" t="s">
        <v>22</v>
      </c>
      <c r="C11" s="5"/>
      <c r="D11" s="11">
        <f t="shared" si="0"/>
        <v>0</v>
      </c>
      <c r="E11" s="12"/>
      <c r="F11" s="12"/>
      <c r="G11" s="12"/>
      <c r="H11" s="12"/>
      <c r="I11" s="13"/>
      <c r="J11" s="14"/>
      <c r="K11" s="12"/>
      <c r="L11" s="12"/>
      <c r="M11" s="12"/>
      <c r="N11" s="12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>
      <c r="A12" s="5"/>
      <c r="B12" s="5" t="s">
        <v>15</v>
      </c>
      <c r="C12" s="5"/>
      <c r="D12" s="11">
        <f t="shared" si="0"/>
        <v>0</v>
      </c>
      <c r="E12" s="12"/>
      <c r="F12" s="12"/>
      <c r="G12" s="12"/>
      <c r="H12" s="12"/>
      <c r="I12" s="13"/>
      <c r="J12" s="14"/>
      <c r="K12" s="12"/>
      <c r="L12" s="12"/>
      <c r="M12" s="12"/>
      <c r="N12" s="12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>
      <c r="A13" s="5"/>
      <c r="B13" s="5" t="s">
        <v>18</v>
      </c>
      <c r="C13" s="5"/>
      <c r="D13" s="11">
        <f t="shared" si="0"/>
        <v>0</v>
      </c>
      <c r="E13" s="12"/>
      <c r="F13" s="12"/>
      <c r="G13" s="12"/>
      <c r="H13" s="12"/>
      <c r="I13" s="13"/>
      <c r="J13" s="14"/>
      <c r="K13" s="12"/>
      <c r="L13" s="12"/>
      <c r="M13" s="12"/>
      <c r="N13" s="12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>
      <c r="A14" s="5"/>
      <c r="B14" s="16" t="s">
        <v>6</v>
      </c>
      <c r="C14" s="5"/>
      <c r="D14" s="11">
        <f t="shared" si="0"/>
        <v>0</v>
      </c>
      <c r="E14" s="12"/>
      <c r="F14" s="12"/>
      <c r="G14" s="12"/>
      <c r="H14" s="12"/>
      <c r="I14" s="13"/>
      <c r="J14" s="14"/>
      <c r="K14" s="12"/>
      <c r="L14" s="12"/>
      <c r="M14" s="12"/>
      <c r="N14" s="12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>
      <c r="A15" s="5"/>
      <c r="B15" s="5" t="s">
        <v>52</v>
      </c>
      <c r="C15" s="5"/>
      <c r="D15" s="11">
        <f t="shared" si="0"/>
        <v>0</v>
      </c>
      <c r="E15" s="12"/>
      <c r="F15" s="12"/>
      <c r="G15" s="12"/>
      <c r="H15" s="12"/>
      <c r="I15" s="13"/>
      <c r="J15" s="14"/>
      <c r="K15" s="12"/>
      <c r="L15" s="12"/>
      <c r="M15" s="12"/>
      <c r="N15" s="12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>
      <c r="A16" s="5"/>
      <c r="B16" s="5" t="s">
        <v>62</v>
      </c>
      <c r="C16" s="5"/>
      <c r="D16" s="11">
        <f t="shared" si="0"/>
        <v>0</v>
      </c>
      <c r="E16" s="12"/>
      <c r="F16" s="12"/>
      <c r="G16" s="12"/>
      <c r="H16" s="12"/>
      <c r="I16" s="13"/>
      <c r="J16" s="14"/>
      <c r="K16" s="12"/>
      <c r="L16" s="12"/>
      <c r="M16" s="12"/>
      <c r="N16" s="12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>
      <c r="A17" s="5"/>
      <c r="B17" s="5" t="s">
        <v>29</v>
      </c>
      <c r="C17" s="5"/>
      <c r="D17" s="11">
        <f t="shared" si="0"/>
        <v>0</v>
      </c>
      <c r="E17" s="12"/>
      <c r="F17" s="12"/>
      <c r="G17" s="12"/>
      <c r="H17" s="12"/>
      <c r="I17" s="13"/>
      <c r="J17" s="14"/>
      <c r="K17" s="12"/>
      <c r="L17" s="12"/>
      <c r="M17" s="18"/>
      <c r="N17" s="12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>
      <c r="A18" s="5"/>
      <c r="B18" s="5" t="s">
        <v>54</v>
      </c>
      <c r="C18" s="5"/>
      <c r="D18" s="11">
        <f t="shared" si="0"/>
        <v>45855</v>
      </c>
      <c r="E18" s="12">
        <v>1550</v>
      </c>
      <c r="F18" s="12">
        <v>2098</v>
      </c>
      <c r="G18" s="12">
        <v>1258</v>
      </c>
      <c r="H18" s="12">
        <v>719</v>
      </c>
      <c r="I18" s="13">
        <v>1510</v>
      </c>
      <c r="J18" s="14">
        <v>1879</v>
      </c>
      <c r="K18" s="12">
        <f>706+530</f>
        <v>1236</v>
      </c>
      <c r="L18" s="12">
        <f>530+561</f>
        <v>1091</v>
      </c>
      <c r="M18" s="12">
        <f>1000+620</f>
        <v>1620</v>
      </c>
      <c r="N18" s="12">
        <f>1277+1200</f>
        <v>2477</v>
      </c>
      <c r="O18" s="15">
        <v>1983</v>
      </c>
      <c r="P18" s="15">
        <v>1717</v>
      </c>
      <c r="Q18" s="24">
        <f>810+1600</f>
        <v>2410</v>
      </c>
      <c r="R18" s="12">
        <f>970+937</f>
        <v>1907</v>
      </c>
      <c r="S18" s="12">
        <f>495+440</f>
        <v>935</v>
      </c>
      <c r="T18" s="12">
        <f>437+580</f>
        <v>1017</v>
      </c>
      <c r="U18" s="12">
        <f>900+630</f>
        <v>1530</v>
      </c>
      <c r="V18" s="15">
        <f>976+1070</f>
        <v>2046</v>
      </c>
      <c r="W18" s="12">
        <f>853+970</f>
        <v>1823</v>
      </c>
      <c r="X18" s="12">
        <f>590+504</f>
        <v>1094</v>
      </c>
      <c r="Y18" s="12">
        <f>510+800</f>
        <v>1310</v>
      </c>
      <c r="Z18" s="12">
        <f>577+970</f>
        <v>1547</v>
      </c>
      <c r="AA18" s="12">
        <f>541+900</f>
        <v>1441</v>
      </c>
      <c r="AB18" s="12">
        <f>472+620</f>
        <v>1092</v>
      </c>
      <c r="AC18" s="12">
        <f>1500+620</f>
        <v>2120</v>
      </c>
      <c r="AD18" s="12">
        <f>1397+820</f>
        <v>2217</v>
      </c>
      <c r="AE18" s="12">
        <f>1531+1500</f>
        <v>3031</v>
      </c>
      <c r="AF18" s="12">
        <f>347+850</f>
        <v>1197</v>
      </c>
      <c r="AG18" s="12"/>
      <c r="AH18" s="12"/>
      <c r="AI18" s="12"/>
    </row>
    <row r="19" spans="1:35" ht="21.6" customHeight="1">
      <c r="A19" s="5"/>
      <c r="B19" s="5" t="s">
        <v>13</v>
      </c>
      <c r="C19" s="5"/>
      <c r="D19" s="11"/>
      <c r="E19" s="12">
        <v>48</v>
      </c>
      <c r="F19" s="12">
        <v>51</v>
      </c>
      <c r="G19" s="12">
        <v>56</v>
      </c>
      <c r="H19" s="12">
        <v>29</v>
      </c>
      <c r="I19" s="13">
        <v>48</v>
      </c>
      <c r="J19" s="14">
        <v>38</v>
      </c>
      <c r="K19" s="12">
        <v>49</v>
      </c>
      <c r="L19" s="12">
        <v>45</v>
      </c>
      <c r="M19" s="12">
        <v>48</v>
      </c>
      <c r="N19" s="12">
        <v>58</v>
      </c>
      <c r="O19" s="15">
        <v>57</v>
      </c>
      <c r="P19" s="15">
        <f>73+10</f>
        <v>83</v>
      </c>
      <c r="Q19" s="15">
        <v>158</v>
      </c>
      <c r="R19" s="12">
        <v>50</v>
      </c>
      <c r="S19" s="12">
        <v>53</v>
      </c>
      <c r="T19" s="12">
        <v>44</v>
      </c>
      <c r="U19" s="12">
        <v>48</v>
      </c>
      <c r="V19" s="15">
        <v>47</v>
      </c>
      <c r="W19" s="12">
        <v>75</v>
      </c>
      <c r="X19" s="12">
        <f>39+4</f>
        <v>43</v>
      </c>
      <c r="Y19" s="12">
        <v>52</v>
      </c>
      <c r="Z19" s="12">
        <v>45</v>
      </c>
      <c r="AA19" s="12">
        <v>60</v>
      </c>
      <c r="AB19" s="12">
        <f>424</f>
        <v>424</v>
      </c>
      <c r="AC19" s="12">
        <v>88</v>
      </c>
      <c r="AD19" s="12">
        <v>12</v>
      </c>
      <c r="AE19" s="12">
        <v>103</v>
      </c>
      <c r="AF19" s="12">
        <v>47</v>
      </c>
      <c r="AG19" s="12"/>
      <c r="AH19" s="12"/>
      <c r="AI19" s="12"/>
    </row>
    <row r="20" spans="1:35" ht="21.6" customHeight="1">
      <c r="A20" s="5"/>
      <c r="B20" s="5" t="s">
        <v>43</v>
      </c>
      <c r="C20" s="5"/>
      <c r="D20" s="11">
        <f>SUM(E20:AI20)</f>
        <v>0</v>
      </c>
      <c r="E20" s="12"/>
      <c r="F20" s="12"/>
      <c r="G20" s="12"/>
      <c r="H20" s="12"/>
      <c r="I20" s="13"/>
      <c r="J20" s="14"/>
      <c r="K20" s="12"/>
      <c r="L20" s="12"/>
      <c r="M20" s="12"/>
      <c r="N20" s="12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>
      <c r="A21" s="5"/>
      <c r="B21" s="5" t="s">
        <v>39</v>
      </c>
      <c r="C21" s="5"/>
      <c r="D21" s="11">
        <f>SUM(E21:AI21)</f>
        <v>2216</v>
      </c>
      <c r="E21" s="12"/>
      <c r="F21" s="12"/>
      <c r="G21" s="12">
        <v>115</v>
      </c>
      <c r="H21" s="12">
        <v>152</v>
      </c>
      <c r="I21" s="13"/>
      <c r="J21" s="14">
        <v>5</v>
      </c>
      <c r="K21" s="12">
        <v>115</v>
      </c>
      <c r="L21" s="12">
        <v>192</v>
      </c>
      <c r="M21" s="12"/>
      <c r="N21" s="12">
        <v>8</v>
      </c>
      <c r="O21" s="15">
        <v>175</v>
      </c>
      <c r="P21" s="15">
        <v>230</v>
      </c>
      <c r="Q21" s="15"/>
      <c r="R21" s="12">
        <v>10</v>
      </c>
      <c r="S21" s="12">
        <v>105</v>
      </c>
      <c r="T21" s="12">
        <v>129</v>
      </c>
      <c r="U21" s="12"/>
      <c r="V21" s="15">
        <v>9</v>
      </c>
      <c r="W21" s="12">
        <v>182</v>
      </c>
      <c r="X21" s="12">
        <v>127</v>
      </c>
      <c r="Y21" s="12"/>
      <c r="Z21" s="12">
        <v>4</v>
      </c>
      <c r="AA21" s="12">
        <v>145</v>
      </c>
      <c r="AB21" s="12">
        <v>163</v>
      </c>
      <c r="AC21" s="12"/>
      <c r="AD21" s="12">
        <v>6</v>
      </c>
      <c r="AE21" s="12">
        <v>216</v>
      </c>
      <c r="AF21" s="12">
        <v>128</v>
      </c>
      <c r="AG21" s="12"/>
      <c r="AH21" s="12"/>
      <c r="AI21" s="12"/>
    </row>
    <row r="22" spans="1:35" ht="21.6" customHeight="1">
      <c r="A22" s="5"/>
      <c r="B22" s="5" t="s">
        <v>59</v>
      </c>
      <c r="C22" s="5"/>
      <c r="D22" s="11">
        <f>SUM(E22:AI22)</f>
        <v>0</v>
      </c>
      <c r="E22" s="12"/>
      <c r="F22" s="12"/>
      <c r="G22" s="12"/>
      <c r="H22" s="12"/>
      <c r="I22" s="13"/>
      <c r="J22" s="14"/>
      <c r="K22" s="12"/>
      <c r="L22" s="12"/>
      <c r="M22" s="12"/>
      <c r="N22" s="12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>
      <c r="A23" s="5"/>
      <c r="B23" s="16" t="s">
        <v>7</v>
      </c>
      <c r="C23" s="5"/>
      <c r="D23" s="11">
        <f>SUM(E23:AI23)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4" t="s">
        <v>63</v>
      </c>
      <c r="B24" s="4"/>
      <c r="C24" s="4"/>
      <c r="D24" s="11">
        <f>SUM(E24:AI24)</f>
        <v>129771</v>
      </c>
      <c r="E24" s="11">
        <f t="shared" ref="E24:AI24" si="1">SUM(E6:E23)</f>
        <v>5503</v>
      </c>
      <c r="F24" s="11">
        <f t="shared" si="1"/>
        <v>5593</v>
      </c>
      <c r="G24" s="11">
        <f t="shared" si="1"/>
        <v>3817</v>
      </c>
      <c r="H24" s="11">
        <f t="shared" si="1"/>
        <v>2545</v>
      </c>
      <c r="I24" s="11">
        <f t="shared" si="1"/>
        <v>5043</v>
      </c>
      <c r="J24" s="11">
        <f t="shared" si="1"/>
        <v>5152</v>
      </c>
      <c r="K24" s="11">
        <f t="shared" si="1"/>
        <v>4054</v>
      </c>
      <c r="L24" s="11">
        <f t="shared" si="1"/>
        <v>3529</v>
      </c>
      <c r="M24" s="11">
        <f t="shared" si="1"/>
        <v>4783</v>
      </c>
      <c r="N24" s="11">
        <f t="shared" si="1"/>
        <v>6276</v>
      </c>
      <c r="O24" s="11">
        <f t="shared" si="1"/>
        <v>5402</v>
      </c>
      <c r="P24" s="11">
        <f t="shared" si="1"/>
        <v>5062</v>
      </c>
      <c r="Q24" s="11">
        <f t="shared" si="1"/>
        <v>6763</v>
      </c>
      <c r="R24" s="11">
        <f t="shared" si="1"/>
        <v>4648</v>
      </c>
      <c r="S24" s="11">
        <f t="shared" si="1"/>
        <v>2968</v>
      </c>
      <c r="T24" s="11">
        <f t="shared" si="1"/>
        <v>3204</v>
      </c>
      <c r="U24" s="11">
        <f t="shared" si="1"/>
        <v>4383</v>
      </c>
      <c r="V24" s="11">
        <f t="shared" si="1"/>
        <v>4926</v>
      </c>
      <c r="W24" s="11">
        <f t="shared" si="1"/>
        <v>5062</v>
      </c>
      <c r="X24" s="11">
        <f t="shared" si="1"/>
        <v>3320</v>
      </c>
      <c r="Y24" s="11">
        <f t="shared" si="1"/>
        <v>4037</v>
      </c>
      <c r="Z24" s="11">
        <f t="shared" si="1"/>
        <v>4032</v>
      </c>
      <c r="AA24" s="11">
        <f t="shared" si="1"/>
        <v>3929</v>
      </c>
      <c r="AB24" s="11">
        <f t="shared" si="1"/>
        <v>2872</v>
      </c>
      <c r="AC24" s="11">
        <f t="shared" si="1"/>
        <v>5733</v>
      </c>
      <c r="AD24" s="11">
        <f t="shared" si="1"/>
        <v>5671</v>
      </c>
      <c r="AE24" s="11">
        <f t="shared" si="1"/>
        <v>7813</v>
      </c>
      <c r="AF24" s="11">
        <f t="shared" si="1"/>
        <v>3651</v>
      </c>
      <c r="AG24" s="11">
        <f t="shared" si="1"/>
        <v>0</v>
      </c>
      <c r="AH24" s="11">
        <f t="shared" si="1"/>
        <v>0</v>
      </c>
      <c r="AI24" s="11">
        <f t="shared" si="1"/>
        <v>0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24"/>
  <sheetViews>
    <sheetView zoomScale="85" zoomScaleNormal="85" zoomScaleSheetLayoutView="75" workbookViewId="0">
      <selection activeCell="AI22" sqref="AI22"/>
    </sheetView>
  </sheetViews>
  <sheetFormatPr defaultColWidth="9" defaultRowHeight="16.5"/>
  <cols>
    <col min="1" max="1" width="8.625" customWidth="1"/>
    <col min="2" max="2" width="14.25" customWidth="1"/>
    <col min="3" max="5" width="8.625" customWidth="1"/>
    <col min="6" max="6" width="10.375" customWidth="1"/>
    <col min="7" max="1025" width="8.625" customWidth="1"/>
  </cols>
  <sheetData>
    <row r="1" spans="1:35" ht="31.5">
      <c r="B1" s="1"/>
      <c r="C1" s="1"/>
      <c r="F1" s="1" t="s">
        <v>38</v>
      </c>
    </row>
    <row r="2" spans="1:35" ht="26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35">
      <c r="A3" s="4" t="s">
        <v>47</v>
      </c>
      <c r="B3" s="4"/>
      <c r="C3" s="4"/>
      <c r="D3" s="4" t="s">
        <v>64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</row>
    <row r="4" spans="1:35">
      <c r="A4" s="4" t="s">
        <v>49</v>
      </c>
      <c r="B4" s="4"/>
      <c r="C4" s="4"/>
      <c r="D4" s="4"/>
      <c r="E4" s="5" t="s">
        <v>58</v>
      </c>
      <c r="F4" s="5" t="s">
        <v>40</v>
      </c>
      <c r="G4" s="5" t="s">
        <v>51</v>
      </c>
      <c r="H4" s="5" t="s">
        <v>44</v>
      </c>
      <c r="I4" s="5" t="s">
        <v>53</v>
      </c>
      <c r="J4" s="5" t="s">
        <v>55</v>
      </c>
      <c r="K4" s="5" t="s">
        <v>46</v>
      </c>
      <c r="L4" s="5" t="s">
        <v>58</v>
      </c>
      <c r="M4" s="5" t="s">
        <v>40</v>
      </c>
      <c r="N4" s="5" t="s">
        <v>51</v>
      </c>
      <c r="O4" s="5" t="s">
        <v>44</v>
      </c>
      <c r="P4" s="5" t="s">
        <v>53</v>
      </c>
      <c r="Q4" s="5" t="s">
        <v>55</v>
      </c>
      <c r="R4" s="5" t="s">
        <v>46</v>
      </c>
      <c r="S4" s="5" t="s">
        <v>58</v>
      </c>
      <c r="T4" s="5" t="s">
        <v>40</v>
      </c>
      <c r="U4" s="5" t="s">
        <v>51</v>
      </c>
      <c r="V4" s="5" t="s">
        <v>44</v>
      </c>
      <c r="W4" s="5" t="s">
        <v>53</v>
      </c>
      <c r="X4" s="5" t="s">
        <v>55</v>
      </c>
      <c r="Y4" s="5" t="s">
        <v>46</v>
      </c>
      <c r="Z4" s="5" t="s">
        <v>58</v>
      </c>
      <c r="AA4" s="5" t="s">
        <v>40</v>
      </c>
      <c r="AB4" s="5" t="s">
        <v>51</v>
      </c>
      <c r="AC4" s="5" t="s">
        <v>44</v>
      </c>
      <c r="AD4" s="5" t="s">
        <v>53</v>
      </c>
      <c r="AE4" s="5" t="s">
        <v>55</v>
      </c>
      <c r="AF4" s="5" t="s">
        <v>46</v>
      </c>
      <c r="AG4" s="5" t="s">
        <v>58</v>
      </c>
      <c r="AH4" s="5" t="s">
        <v>40</v>
      </c>
      <c r="AI4" s="5" t="s">
        <v>51</v>
      </c>
    </row>
    <row r="5" spans="1:35" ht="30" customHeight="1">
      <c r="A5" s="5" t="s">
        <v>57</v>
      </c>
      <c r="B5" s="5" t="s">
        <v>50</v>
      </c>
      <c r="C5" s="5"/>
      <c r="D5" s="6"/>
      <c r="E5" s="7" t="s">
        <v>45</v>
      </c>
      <c r="F5" s="7" t="s">
        <v>61</v>
      </c>
      <c r="G5" s="7" t="s">
        <v>61</v>
      </c>
      <c r="H5" s="7" t="s">
        <v>14</v>
      </c>
      <c r="I5" s="7" t="s">
        <v>20</v>
      </c>
      <c r="J5" s="7" t="s">
        <v>61</v>
      </c>
      <c r="K5" s="7" t="s">
        <v>56</v>
      </c>
      <c r="L5" s="7" t="s">
        <v>61</v>
      </c>
      <c r="M5" s="7" t="s">
        <v>61</v>
      </c>
      <c r="N5" s="7" t="s">
        <v>61</v>
      </c>
      <c r="O5" s="7" t="s">
        <v>56</v>
      </c>
      <c r="P5" s="7" t="s">
        <v>61</v>
      </c>
      <c r="Q5" s="7" t="s">
        <v>45</v>
      </c>
      <c r="R5" s="7" t="s">
        <v>45</v>
      </c>
      <c r="S5" s="9" t="s">
        <v>56</v>
      </c>
      <c r="T5" s="7" t="s">
        <v>61</v>
      </c>
      <c r="U5" s="7" t="s">
        <v>23</v>
      </c>
      <c r="V5" s="7" t="s">
        <v>26</v>
      </c>
      <c r="W5" s="9" t="s">
        <v>2</v>
      </c>
      <c r="X5" s="7" t="s">
        <v>16</v>
      </c>
      <c r="Y5" s="7" t="s">
        <v>61</v>
      </c>
      <c r="Z5" s="7" t="s">
        <v>61</v>
      </c>
      <c r="AA5" s="7" t="s">
        <v>56</v>
      </c>
      <c r="AB5" s="7" t="s">
        <v>56</v>
      </c>
      <c r="AC5" s="7" t="s">
        <v>23</v>
      </c>
      <c r="AD5" s="7" t="s">
        <v>30</v>
      </c>
      <c r="AE5" s="7" t="s">
        <v>0</v>
      </c>
      <c r="AF5" s="7" t="s">
        <v>61</v>
      </c>
      <c r="AG5" s="7" t="s">
        <v>61</v>
      </c>
      <c r="AH5" s="7" t="s">
        <v>1</v>
      </c>
      <c r="AI5" s="7" t="s">
        <v>56</v>
      </c>
    </row>
    <row r="6" spans="1:35" ht="21.6" hidden="1" customHeight="1">
      <c r="A6" s="5"/>
      <c r="B6" s="10" t="s">
        <v>10</v>
      </c>
      <c r="C6" s="5"/>
      <c r="D6" s="11">
        <f t="shared" ref="D6:D18" si="0">SUM(E6:AI6)</f>
        <v>0</v>
      </c>
      <c r="E6" s="19"/>
      <c r="F6" s="19"/>
      <c r="G6" s="19"/>
      <c r="H6" s="19"/>
      <c r="I6" s="20"/>
      <c r="J6" s="21"/>
      <c r="K6" s="19"/>
      <c r="L6" s="19"/>
      <c r="M6" s="19"/>
      <c r="N6" s="19"/>
      <c r="O6" s="15"/>
      <c r="P6" s="15"/>
      <c r="Q6" s="15"/>
      <c r="R6" s="12"/>
      <c r="S6" s="12"/>
      <c r="T6" s="12"/>
      <c r="U6" s="12"/>
      <c r="V6" s="15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21.6" customHeight="1">
      <c r="A7" s="5"/>
      <c r="B7" s="5" t="s">
        <v>9</v>
      </c>
      <c r="C7" s="5"/>
      <c r="D7" s="11">
        <f t="shared" si="0"/>
        <v>35241</v>
      </c>
      <c r="E7" s="19">
        <v>850</v>
      </c>
      <c r="F7" s="19">
        <v>1471</v>
      </c>
      <c r="G7" s="19">
        <v>1300</v>
      </c>
      <c r="H7" s="19">
        <v>1270</v>
      </c>
      <c r="I7" s="20">
        <v>850</v>
      </c>
      <c r="J7" s="21">
        <v>1382</v>
      </c>
      <c r="K7" s="19">
        <v>800</v>
      </c>
      <c r="L7" s="19">
        <v>1180</v>
      </c>
      <c r="M7" s="19">
        <v>1700</v>
      </c>
      <c r="N7" s="19">
        <v>1182</v>
      </c>
      <c r="O7" s="15">
        <v>1150</v>
      </c>
      <c r="P7" s="15">
        <v>1460</v>
      </c>
      <c r="Q7" s="15">
        <v>600</v>
      </c>
      <c r="R7" s="12">
        <v>506</v>
      </c>
      <c r="S7" s="12">
        <v>950</v>
      </c>
      <c r="T7" s="12">
        <v>1290</v>
      </c>
      <c r="U7" s="12">
        <v>1200</v>
      </c>
      <c r="V7" s="15">
        <v>605</v>
      </c>
      <c r="W7" s="12">
        <v>530</v>
      </c>
      <c r="X7" s="12">
        <v>1908</v>
      </c>
      <c r="Y7" s="12">
        <v>1200</v>
      </c>
      <c r="Z7" s="12">
        <v>1505</v>
      </c>
      <c r="AA7" s="12">
        <v>770</v>
      </c>
      <c r="AB7" s="12">
        <v>1220</v>
      </c>
      <c r="AC7" s="12">
        <v>1200</v>
      </c>
      <c r="AD7" s="12">
        <v>616</v>
      </c>
      <c r="AE7" s="12">
        <v>2350</v>
      </c>
      <c r="AF7" s="12">
        <v>1260</v>
      </c>
      <c r="AG7" s="12">
        <v>1300</v>
      </c>
      <c r="AH7" s="12">
        <v>686</v>
      </c>
      <c r="AI7" s="12">
        <v>950</v>
      </c>
    </row>
    <row r="8" spans="1:35" ht="21.6" customHeight="1">
      <c r="A8" s="5"/>
      <c r="B8" s="10" t="s">
        <v>5</v>
      </c>
      <c r="C8" s="5"/>
      <c r="D8" s="11">
        <f t="shared" si="0"/>
        <v>37357</v>
      </c>
      <c r="E8" s="19">
        <v>1330</v>
      </c>
      <c r="F8" s="19">
        <v>910</v>
      </c>
      <c r="G8" s="19">
        <v>1317</v>
      </c>
      <c r="H8" s="19">
        <v>790</v>
      </c>
      <c r="I8" s="20">
        <v>1260</v>
      </c>
      <c r="J8" s="21">
        <v>1770</v>
      </c>
      <c r="K8" s="19">
        <v>1321</v>
      </c>
      <c r="L8" s="19">
        <v>870</v>
      </c>
      <c r="M8" s="19">
        <v>1580</v>
      </c>
      <c r="N8" s="19">
        <v>1420</v>
      </c>
      <c r="O8" s="15">
        <v>1341</v>
      </c>
      <c r="P8" s="15">
        <v>791</v>
      </c>
      <c r="Q8" s="15">
        <v>1120</v>
      </c>
      <c r="R8" s="12">
        <v>920</v>
      </c>
      <c r="S8" s="12">
        <v>1297</v>
      </c>
      <c r="T8" s="12">
        <v>1255</v>
      </c>
      <c r="U8" s="12">
        <v>1000</v>
      </c>
      <c r="V8" s="15">
        <v>800</v>
      </c>
      <c r="W8" s="12">
        <v>1252</v>
      </c>
      <c r="X8" s="12">
        <v>1215</v>
      </c>
      <c r="Y8" s="12">
        <v>1640</v>
      </c>
      <c r="Z8" s="12">
        <v>830</v>
      </c>
      <c r="AA8" s="12">
        <v>889</v>
      </c>
      <c r="AB8" s="12">
        <v>967</v>
      </c>
      <c r="AC8" s="12">
        <v>850</v>
      </c>
      <c r="AD8" s="12">
        <v>1250</v>
      </c>
      <c r="AE8" s="12">
        <v>2519</v>
      </c>
      <c r="AF8" s="12">
        <v>935</v>
      </c>
      <c r="AG8" s="12">
        <v>1100</v>
      </c>
      <c r="AH8" s="12">
        <v>1300</v>
      </c>
      <c r="AI8" s="12">
        <v>1518</v>
      </c>
    </row>
    <row r="9" spans="1:35" ht="21.6" customHeight="1">
      <c r="A9" s="5"/>
      <c r="B9" s="5" t="s">
        <v>28</v>
      </c>
      <c r="C9" s="5"/>
      <c r="D9" s="11">
        <f t="shared" si="0"/>
        <v>25334</v>
      </c>
      <c r="E9" s="19">
        <f>285+850</f>
        <v>1135</v>
      </c>
      <c r="F9" s="19">
        <f>355+805</f>
        <v>1160</v>
      </c>
      <c r="G9" s="19">
        <f>516+107</f>
        <v>623</v>
      </c>
      <c r="H9" s="19">
        <f>65+219</f>
        <v>284</v>
      </c>
      <c r="I9" s="20">
        <f>275+850</f>
        <v>1125</v>
      </c>
      <c r="J9" s="21">
        <f>355+847</f>
        <v>1202</v>
      </c>
      <c r="K9" s="19">
        <f>506+49</f>
        <v>555</v>
      </c>
      <c r="L9" s="19">
        <f>79+420</f>
        <v>499</v>
      </c>
      <c r="M9" s="19">
        <f>325+1050</f>
        <v>1375</v>
      </c>
      <c r="N9" s="19">
        <f>285+747</f>
        <v>1032</v>
      </c>
      <c r="O9" s="15">
        <f>517+145</f>
        <v>662</v>
      </c>
      <c r="P9" s="15">
        <f>96+540</f>
        <v>636</v>
      </c>
      <c r="Q9" s="15">
        <f>550+265</f>
        <v>815</v>
      </c>
      <c r="R9" s="12">
        <f>285+221</f>
        <v>506</v>
      </c>
      <c r="S9" s="12">
        <f>469+80</f>
        <v>549</v>
      </c>
      <c r="T9" s="12">
        <f>101+360</f>
        <v>461</v>
      </c>
      <c r="U9" s="12">
        <f>175+700</f>
        <v>875</v>
      </c>
      <c r="V9" s="15">
        <f>265+632</f>
        <v>897</v>
      </c>
      <c r="W9" s="12">
        <v>669</v>
      </c>
      <c r="X9" s="12">
        <v>1368</v>
      </c>
      <c r="Y9" s="12">
        <v>1210</v>
      </c>
      <c r="Z9" s="12">
        <v>907</v>
      </c>
      <c r="AA9" s="12">
        <v>502</v>
      </c>
      <c r="AB9" s="12">
        <v>673</v>
      </c>
      <c r="AC9" s="12">
        <f>700+125</f>
        <v>825</v>
      </c>
      <c r="AD9" s="12">
        <v>820</v>
      </c>
      <c r="AE9" s="12">
        <v>897</v>
      </c>
      <c r="AF9" s="12">
        <v>547</v>
      </c>
      <c r="AG9" s="12">
        <v>1025</v>
      </c>
      <c r="AH9" s="12">
        <v>919</v>
      </c>
      <c r="AI9" s="12">
        <f>473+108</f>
        <v>581</v>
      </c>
    </row>
    <row r="10" spans="1:35" ht="21.6" customHeight="1">
      <c r="A10" s="5"/>
      <c r="B10" s="5" t="s">
        <v>42</v>
      </c>
      <c r="C10" s="5"/>
      <c r="D10" s="11">
        <f t="shared" si="0"/>
        <v>0</v>
      </c>
      <c r="E10" s="19"/>
      <c r="F10" s="19"/>
      <c r="G10" s="19"/>
      <c r="H10" s="19"/>
      <c r="I10" s="20"/>
      <c r="J10" s="21"/>
      <c r="K10" s="19"/>
      <c r="L10" s="19"/>
      <c r="M10" s="19"/>
      <c r="N10" s="19"/>
      <c r="O10" s="15"/>
      <c r="P10" s="15"/>
      <c r="Q10" s="15"/>
      <c r="R10" s="12"/>
      <c r="S10" s="12"/>
      <c r="T10" s="12"/>
      <c r="U10" s="12"/>
      <c r="V10" s="15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6" customHeight="1">
      <c r="A11" s="5"/>
      <c r="B11" s="5" t="s">
        <v>22</v>
      </c>
      <c r="C11" s="5"/>
      <c r="D11" s="11">
        <f t="shared" si="0"/>
        <v>0</v>
      </c>
      <c r="E11" s="19"/>
      <c r="F11" s="19"/>
      <c r="G11" s="19"/>
      <c r="H11" s="19"/>
      <c r="I11" s="20"/>
      <c r="J11" s="21"/>
      <c r="K11" s="19"/>
      <c r="L11" s="19"/>
      <c r="M11" s="19"/>
      <c r="N11" s="19"/>
      <c r="O11" s="15"/>
      <c r="P11" s="15"/>
      <c r="Q11" s="15"/>
      <c r="R11" s="12"/>
      <c r="S11" s="12"/>
      <c r="T11" s="12"/>
      <c r="U11" s="12"/>
      <c r="V11" s="15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6" customHeight="1">
      <c r="A12" s="5"/>
      <c r="B12" s="5" t="s">
        <v>15</v>
      </c>
      <c r="C12" s="5"/>
      <c r="D12" s="11">
        <f t="shared" si="0"/>
        <v>0</v>
      </c>
      <c r="E12" s="19"/>
      <c r="F12" s="19"/>
      <c r="G12" s="19"/>
      <c r="H12" s="19"/>
      <c r="I12" s="20"/>
      <c r="J12" s="21"/>
      <c r="K12" s="19"/>
      <c r="L12" s="19"/>
      <c r="M12" s="19"/>
      <c r="N12" s="19"/>
      <c r="O12" s="15"/>
      <c r="P12" s="15"/>
      <c r="Q12" s="15"/>
      <c r="R12" s="12"/>
      <c r="S12" s="12"/>
      <c r="T12" s="12"/>
      <c r="U12" s="12"/>
      <c r="V12" s="15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6" customHeight="1">
      <c r="A13" s="5"/>
      <c r="B13" s="5" t="s">
        <v>18</v>
      </c>
      <c r="C13" s="5"/>
      <c r="D13" s="11">
        <f t="shared" si="0"/>
        <v>0</v>
      </c>
      <c r="E13" s="19"/>
      <c r="F13" s="19"/>
      <c r="G13" s="19"/>
      <c r="H13" s="19"/>
      <c r="I13" s="20"/>
      <c r="J13" s="21"/>
      <c r="K13" s="19"/>
      <c r="L13" s="19"/>
      <c r="M13" s="19"/>
      <c r="N13" s="19"/>
      <c r="O13" s="15"/>
      <c r="P13" s="15"/>
      <c r="Q13" s="15"/>
      <c r="R13" s="12"/>
      <c r="S13" s="12"/>
      <c r="T13" s="12"/>
      <c r="U13" s="12"/>
      <c r="V13" s="15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6" customHeight="1">
      <c r="A14" s="5"/>
      <c r="B14" s="16" t="s">
        <v>6</v>
      </c>
      <c r="C14" s="5"/>
      <c r="D14" s="11">
        <f t="shared" si="0"/>
        <v>0</v>
      </c>
      <c r="E14" s="19"/>
      <c r="F14" s="19"/>
      <c r="G14" s="19"/>
      <c r="H14" s="19"/>
      <c r="I14" s="20"/>
      <c r="J14" s="21"/>
      <c r="K14" s="19"/>
      <c r="L14" s="19"/>
      <c r="M14" s="19"/>
      <c r="N14" s="19"/>
      <c r="O14" s="15"/>
      <c r="P14" s="15"/>
      <c r="Q14" s="15"/>
      <c r="R14" s="12"/>
      <c r="S14" s="12"/>
      <c r="T14" s="17"/>
      <c r="U14" s="12"/>
      <c r="V14" s="15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6" customHeight="1">
      <c r="A15" s="5"/>
      <c r="B15" s="5" t="s">
        <v>52</v>
      </c>
      <c r="C15" s="5"/>
      <c r="D15" s="11">
        <f t="shared" si="0"/>
        <v>0</v>
      </c>
      <c r="E15" s="19"/>
      <c r="F15" s="19"/>
      <c r="G15" s="19"/>
      <c r="H15" s="19"/>
      <c r="I15" s="20"/>
      <c r="J15" s="21"/>
      <c r="K15" s="19"/>
      <c r="L15" s="19"/>
      <c r="M15" s="19"/>
      <c r="N15" s="19"/>
      <c r="O15" s="15"/>
      <c r="P15" s="15"/>
      <c r="Q15" s="15"/>
      <c r="R15" s="12"/>
      <c r="S15" s="12"/>
      <c r="T15" s="12"/>
      <c r="U15" s="12"/>
      <c r="V15" s="15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6" customHeight="1">
      <c r="A16" s="5"/>
      <c r="B16" s="5" t="s">
        <v>62</v>
      </c>
      <c r="C16" s="5"/>
      <c r="D16" s="11">
        <f t="shared" si="0"/>
        <v>0</v>
      </c>
      <c r="E16" s="19"/>
      <c r="F16" s="19"/>
      <c r="G16" s="19"/>
      <c r="H16" s="19"/>
      <c r="I16" s="20"/>
      <c r="J16" s="21"/>
      <c r="K16" s="19"/>
      <c r="L16" s="19"/>
      <c r="M16" s="19"/>
      <c r="N16" s="19"/>
      <c r="O16" s="15"/>
      <c r="P16" s="15"/>
      <c r="Q16" s="15"/>
      <c r="R16" s="12"/>
      <c r="S16" s="12"/>
      <c r="T16" s="12"/>
      <c r="U16" s="12"/>
      <c r="V16" s="15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6" customHeight="1">
      <c r="A17" s="5"/>
      <c r="B17" s="5" t="s">
        <v>29</v>
      </c>
      <c r="C17" s="5"/>
      <c r="D17" s="11">
        <f t="shared" si="0"/>
        <v>0</v>
      </c>
      <c r="E17" s="19"/>
      <c r="F17" s="19"/>
      <c r="G17" s="19"/>
      <c r="H17" s="19"/>
      <c r="I17" s="20"/>
      <c r="J17" s="21"/>
      <c r="K17" s="19"/>
      <c r="L17" s="19"/>
      <c r="M17" s="22"/>
      <c r="N17" s="19"/>
      <c r="O17" s="15"/>
      <c r="P17" s="15"/>
      <c r="Q17" s="15"/>
      <c r="R17" s="12"/>
      <c r="S17" s="12"/>
      <c r="T17" s="18"/>
      <c r="U17" s="12"/>
      <c r="V17" s="15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6" customHeight="1">
      <c r="A18" s="5"/>
      <c r="B18" s="5" t="s">
        <v>54</v>
      </c>
      <c r="C18" s="5"/>
      <c r="D18" s="11">
        <f t="shared" si="0"/>
        <v>62821</v>
      </c>
      <c r="E18" s="19">
        <f>1050+760</f>
        <v>1810</v>
      </c>
      <c r="F18" s="19">
        <f>978+820</f>
        <v>1798</v>
      </c>
      <c r="G18" s="19">
        <f>957+4150</f>
        <v>5107</v>
      </c>
      <c r="H18" s="19">
        <f>393+1520</f>
        <v>1913</v>
      </c>
      <c r="I18" s="20">
        <f>1050+740</f>
        <v>1790</v>
      </c>
      <c r="J18" s="21">
        <f>1770+1151</f>
        <v>2921</v>
      </c>
      <c r="K18" s="19">
        <f>750+973</f>
        <v>1723</v>
      </c>
      <c r="L18" s="19">
        <f>537+930</f>
        <v>1467</v>
      </c>
      <c r="M18" s="19">
        <f>1950+900</f>
        <v>2850</v>
      </c>
      <c r="N18" s="19">
        <f>851+1270</f>
        <v>2121</v>
      </c>
      <c r="O18" s="15">
        <f>900+1025</f>
        <v>1925</v>
      </c>
      <c r="P18" s="15">
        <f>833+1110</f>
        <v>1943</v>
      </c>
      <c r="Q18" s="15">
        <f>770+600</f>
        <v>1370</v>
      </c>
      <c r="R18" s="23">
        <f>252+820</f>
        <v>1072</v>
      </c>
      <c r="S18" s="12">
        <f>820+972</f>
        <v>1792</v>
      </c>
      <c r="T18" s="12">
        <f>1000+780</f>
        <v>1780</v>
      </c>
      <c r="U18" s="12">
        <f>1150+590</f>
        <v>1740</v>
      </c>
      <c r="V18" s="15">
        <f>650+662</f>
        <v>1312</v>
      </c>
      <c r="W18" s="12">
        <v>803</v>
      </c>
      <c r="X18" s="12">
        <v>3012</v>
      </c>
      <c r="Y18" s="12">
        <v>2400</v>
      </c>
      <c r="Z18" s="12">
        <v>2212</v>
      </c>
      <c r="AA18" s="12">
        <v>1381</v>
      </c>
      <c r="AB18" s="12">
        <v>2557</v>
      </c>
      <c r="AC18" s="12">
        <f>370+1150</f>
        <v>1520</v>
      </c>
      <c r="AD18" s="12">
        <v>2014</v>
      </c>
      <c r="AE18" s="12">
        <v>2811</v>
      </c>
      <c r="AF18" s="12">
        <v>1725</v>
      </c>
      <c r="AG18" s="12">
        <v>2420</v>
      </c>
      <c r="AH18" s="12">
        <v>2021</v>
      </c>
      <c r="AI18" s="12">
        <f>800+711</f>
        <v>1511</v>
      </c>
    </row>
    <row r="19" spans="1:35" ht="21.6" customHeight="1">
      <c r="A19" s="5"/>
      <c r="B19" s="5" t="s">
        <v>60</v>
      </c>
      <c r="C19" s="5"/>
      <c r="D19" s="11"/>
      <c r="E19" s="19">
        <v>48</v>
      </c>
      <c r="F19" s="19">
        <v>10</v>
      </c>
      <c r="G19" s="19">
        <f>14+75</f>
        <v>89</v>
      </c>
      <c r="H19" s="19">
        <f>28+75</f>
        <v>103</v>
      </c>
      <c r="I19" s="20">
        <v>48</v>
      </c>
      <c r="J19" s="21">
        <f>11</f>
        <v>11</v>
      </c>
      <c r="K19" s="19">
        <f>13+46</f>
        <v>59</v>
      </c>
      <c r="L19" s="19">
        <f>72+8</f>
        <v>80</v>
      </c>
      <c r="M19" s="19">
        <f>7+235</f>
        <v>242</v>
      </c>
      <c r="N19" s="19">
        <f>30+11</f>
        <v>41</v>
      </c>
      <c r="O19" s="15">
        <f>110+11</f>
        <v>121</v>
      </c>
      <c r="P19" s="15">
        <f>43+16</f>
        <v>59</v>
      </c>
      <c r="Q19" s="15">
        <f>4+10</f>
        <v>14</v>
      </c>
      <c r="R19" s="12">
        <v>21</v>
      </c>
      <c r="S19" s="12">
        <f>14+70</f>
        <v>84</v>
      </c>
      <c r="T19" s="12">
        <f>13+68</f>
        <v>81</v>
      </c>
      <c r="U19" s="12">
        <f>120+3</f>
        <v>123</v>
      </c>
      <c r="V19" s="15">
        <f>7+20</f>
        <v>27</v>
      </c>
      <c r="W19" s="12">
        <v>54</v>
      </c>
      <c r="X19" s="12">
        <v>154</v>
      </c>
      <c r="Y19" s="12">
        <v>148</v>
      </c>
      <c r="Z19" s="12">
        <v>32</v>
      </c>
      <c r="AA19" s="12">
        <v>75</v>
      </c>
      <c r="AB19" s="12">
        <v>103</v>
      </c>
      <c r="AC19" s="12">
        <f>3+120</f>
        <v>123</v>
      </c>
      <c r="AD19" s="12">
        <v>49</v>
      </c>
      <c r="AE19" s="12">
        <v>173</v>
      </c>
      <c r="AF19" s="12">
        <v>94</v>
      </c>
      <c r="AG19" s="12">
        <v>123</v>
      </c>
      <c r="AH19" s="12">
        <v>47</v>
      </c>
      <c r="AI19" s="12">
        <f>60+12</f>
        <v>72</v>
      </c>
    </row>
    <row r="20" spans="1:35" ht="21.6" customHeight="1">
      <c r="A20" s="5"/>
      <c r="B20" s="5" t="s">
        <v>43</v>
      </c>
      <c r="C20" s="5"/>
      <c r="D20" s="11">
        <f>SUM(E20:AI20)</f>
        <v>0</v>
      </c>
      <c r="E20" s="19"/>
      <c r="F20" s="19"/>
      <c r="G20" s="19"/>
      <c r="H20" s="19"/>
      <c r="I20" s="20"/>
      <c r="J20" s="21"/>
      <c r="K20" s="19"/>
      <c r="L20" s="19"/>
      <c r="M20" s="19"/>
      <c r="N20" s="19"/>
      <c r="O20" s="15"/>
      <c r="P20" s="15"/>
      <c r="Q20" s="15"/>
      <c r="R20" s="12"/>
      <c r="S20" s="12"/>
      <c r="T20" s="12"/>
      <c r="U20" s="12"/>
      <c r="V20" s="15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6" customHeight="1">
      <c r="A21" s="5"/>
      <c r="B21" s="5" t="s">
        <v>39</v>
      </c>
      <c r="C21" s="5"/>
      <c r="D21" s="11">
        <f>SUM(E21:AI21)</f>
        <v>3272</v>
      </c>
      <c r="E21" s="19"/>
      <c r="F21" s="19">
        <v>4</v>
      </c>
      <c r="G21" s="19">
        <v>135</v>
      </c>
      <c r="H21" s="19">
        <v>155</v>
      </c>
      <c r="I21" s="20"/>
      <c r="J21" s="21">
        <v>5</v>
      </c>
      <c r="K21" s="19">
        <v>97</v>
      </c>
      <c r="L21" s="19">
        <v>210</v>
      </c>
      <c r="M21" s="19"/>
      <c r="N21" s="19">
        <v>5</v>
      </c>
      <c r="O21" s="15">
        <f>145+18</f>
        <v>163</v>
      </c>
      <c r="P21" s="15">
        <v>159</v>
      </c>
      <c r="Q21" s="15"/>
      <c r="R21" s="12">
        <v>2</v>
      </c>
      <c r="S21" s="12">
        <v>155</v>
      </c>
      <c r="T21" s="12">
        <v>277</v>
      </c>
      <c r="U21" s="12"/>
      <c r="V21" s="15">
        <v>6</v>
      </c>
      <c r="W21" s="12">
        <v>8</v>
      </c>
      <c r="X21" s="12">
        <v>199</v>
      </c>
      <c r="Y21" s="12"/>
      <c r="Z21" s="12">
        <v>8</v>
      </c>
      <c r="AA21" s="12">
        <v>136</v>
      </c>
      <c r="AB21" s="12">
        <v>182</v>
      </c>
      <c r="AC21" s="12"/>
      <c r="AD21" s="12">
        <v>5</v>
      </c>
      <c r="AE21" s="12">
        <v>882</v>
      </c>
      <c r="AF21" s="12">
        <v>242</v>
      </c>
      <c r="AG21" s="12"/>
      <c r="AH21" s="12">
        <v>4</v>
      </c>
      <c r="AI21" s="12">
        <v>233</v>
      </c>
    </row>
    <row r="22" spans="1:35" ht="21.6" customHeight="1">
      <c r="A22" s="5"/>
      <c r="B22" s="5" t="s">
        <v>59</v>
      </c>
      <c r="C22" s="5"/>
      <c r="D22" s="11">
        <f>SUM(E22:AI22)</f>
        <v>0</v>
      </c>
      <c r="E22" s="19"/>
      <c r="F22" s="19"/>
      <c r="G22" s="19"/>
      <c r="H22" s="19"/>
      <c r="I22" s="20"/>
      <c r="J22" s="21"/>
      <c r="K22" s="19"/>
      <c r="L22" s="19"/>
      <c r="M22" s="19"/>
      <c r="N22" s="19"/>
      <c r="O22" s="15"/>
      <c r="P22" s="15"/>
      <c r="Q22" s="15"/>
      <c r="R22" s="12"/>
      <c r="S22" s="12"/>
      <c r="T22" s="12"/>
      <c r="U22" s="12"/>
      <c r="V22" s="15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6" customHeight="1">
      <c r="A23" s="5"/>
      <c r="B23" s="16" t="s">
        <v>7</v>
      </c>
      <c r="C23" s="5"/>
      <c r="D23" s="11">
        <f>SUM(E23:AI23)</f>
        <v>0</v>
      </c>
      <c r="E23" s="12"/>
      <c r="F23" s="12"/>
      <c r="G23" s="12"/>
      <c r="H23" s="12"/>
      <c r="I23" s="13"/>
      <c r="J23" s="14"/>
      <c r="K23" s="12"/>
      <c r="L23" s="12"/>
      <c r="M23" s="12"/>
      <c r="N23" s="12"/>
      <c r="O23" s="15"/>
      <c r="P23" s="15"/>
      <c r="Q23" s="15"/>
      <c r="R23" s="12"/>
      <c r="S23" s="17"/>
      <c r="T23" s="12"/>
      <c r="U23" s="12"/>
      <c r="V23" s="15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>
      <c r="A24" s="4" t="s">
        <v>63</v>
      </c>
      <c r="B24" s="4"/>
      <c r="C24" s="4"/>
      <c r="D24" s="11">
        <f>SUM(E24:AI24)</f>
        <v>166533</v>
      </c>
      <c r="E24" s="11">
        <f t="shared" ref="E24:AI24" si="1">SUM(E6:E23)</f>
        <v>5173</v>
      </c>
      <c r="F24" s="11">
        <f t="shared" si="1"/>
        <v>5353</v>
      </c>
      <c r="G24" s="11">
        <f t="shared" si="1"/>
        <v>8571</v>
      </c>
      <c r="H24" s="11">
        <f t="shared" si="1"/>
        <v>4515</v>
      </c>
      <c r="I24" s="11">
        <f t="shared" si="1"/>
        <v>5073</v>
      </c>
      <c r="J24" s="11">
        <f t="shared" si="1"/>
        <v>7291</v>
      </c>
      <c r="K24" s="11">
        <f t="shared" si="1"/>
        <v>4555</v>
      </c>
      <c r="L24" s="11">
        <f t="shared" si="1"/>
        <v>4306</v>
      </c>
      <c r="M24" s="11">
        <f t="shared" si="1"/>
        <v>7747</v>
      </c>
      <c r="N24" s="11">
        <f t="shared" si="1"/>
        <v>5801</v>
      </c>
      <c r="O24" s="11">
        <f t="shared" si="1"/>
        <v>5362</v>
      </c>
      <c r="P24" s="11">
        <f t="shared" si="1"/>
        <v>5048</v>
      </c>
      <c r="Q24" s="11">
        <f t="shared" si="1"/>
        <v>3919</v>
      </c>
      <c r="R24" s="11">
        <f t="shared" si="1"/>
        <v>3027</v>
      </c>
      <c r="S24" s="11">
        <f t="shared" si="1"/>
        <v>4827</v>
      </c>
      <c r="T24" s="11">
        <f t="shared" si="1"/>
        <v>5144</v>
      </c>
      <c r="U24" s="11">
        <f t="shared" si="1"/>
        <v>4938</v>
      </c>
      <c r="V24" s="11">
        <f t="shared" si="1"/>
        <v>3647</v>
      </c>
      <c r="W24" s="11">
        <f t="shared" si="1"/>
        <v>3316</v>
      </c>
      <c r="X24" s="11">
        <f t="shared" si="1"/>
        <v>7856</v>
      </c>
      <c r="Y24" s="11">
        <f t="shared" si="1"/>
        <v>6598</v>
      </c>
      <c r="Z24" s="11">
        <f t="shared" si="1"/>
        <v>5494</v>
      </c>
      <c r="AA24" s="11">
        <f t="shared" si="1"/>
        <v>3753</v>
      </c>
      <c r="AB24" s="11">
        <f t="shared" si="1"/>
        <v>5702</v>
      </c>
      <c r="AC24" s="11">
        <f t="shared" si="1"/>
        <v>4518</v>
      </c>
      <c r="AD24" s="11">
        <f t="shared" si="1"/>
        <v>4754</v>
      </c>
      <c r="AE24" s="11">
        <f t="shared" si="1"/>
        <v>9632</v>
      </c>
      <c r="AF24" s="11">
        <f t="shared" si="1"/>
        <v>4803</v>
      </c>
      <c r="AG24" s="11">
        <f t="shared" si="1"/>
        <v>5968</v>
      </c>
      <c r="AH24" s="11">
        <f t="shared" si="1"/>
        <v>4977</v>
      </c>
      <c r="AI24" s="11">
        <f t="shared" si="1"/>
        <v>4865</v>
      </c>
    </row>
  </sheetData>
  <phoneticPr fontId="10" type="noConversion"/>
  <pageMargins left="0.69972223043441772" right="0.69972223043441772" top="0.75" bottom="0.75" header="0.51138889789581299" footer="0.51138889789581299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/>
  </sheetViews>
  <sheetFormatPr defaultRowHeight="16.5"/>
  <cols>
    <col min="1" max="16384" width="9" style="44"/>
  </cols>
  <sheetData>
    <row r="1" spans="1:34" ht="31.5">
      <c r="B1" s="43"/>
      <c r="C1" s="43"/>
      <c r="F1" s="43" t="s">
        <v>33</v>
      </c>
    </row>
    <row r="2" spans="1:34" ht="26.25">
      <c r="A2" s="4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34">
      <c r="A3" s="27" t="s">
        <v>47</v>
      </c>
      <c r="B3" s="27"/>
      <c r="C3" s="27"/>
      <c r="D3" s="27" t="s">
        <v>64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>
      <c r="A4" s="27" t="s">
        <v>49</v>
      </c>
      <c r="B4" s="27"/>
      <c r="C4" s="27"/>
      <c r="D4" s="27"/>
      <c r="E4" s="32" t="s">
        <v>72</v>
      </c>
      <c r="F4" s="32" t="s">
        <v>53</v>
      </c>
      <c r="G4" s="32" t="s">
        <v>55</v>
      </c>
      <c r="H4" s="32" t="s">
        <v>46</v>
      </c>
      <c r="I4" s="32" t="s">
        <v>58</v>
      </c>
      <c r="J4" s="32" t="s">
        <v>40</v>
      </c>
      <c r="K4" s="32" t="s">
        <v>51</v>
      </c>
      <c r="L4" s="32" t="s">
        <v>44</v>
      </c>
      <c r="M4" s="32" t="s">
        <v>53</v>
      </c>
      <c r="N4" s="32" t="s">
        <v>55</v>
      </c>
      <c r="O4" s="32" t="s">
        <v>46</v>
      </c>
      <c r="P4" s="32" t="s">
        <v>58</v>
      </c>
      <c r="Q4" s="32" t="s">
        <v>40</v>
      </c>
      <c r="R4" s="32" t="s">
        <v>51</v>
      </c>
      <c r="S4" s="32" t="s">
        <v>44</v>
      </c>
      <c r="T4" s="32" t="s">
        <v>53</v>
      </c>
      <c r="U4" s="32" t="s">
        <v>55</v>
      </c>
      <c r="V4" s="32" t="s">
        <v>46</v>
      </c>
      <c r="W4" s="32" t="s">
        <v>58</v>
      </c>
      <c r="X4" s="32" t="s">
        <v>40</v>
      </c>
      <c r="Y4" s="32" t="s">
        <v>51</v>
      </c>
      <c r="Z4" s="32" t="s">
        <v>44</v>
      </c>
      <c r="AA4" s="32" t="s">
        <v>53</v>
      </c>
      <c r="AB4" s="32" t="s">
        <v>55</v>
      </c>
      <c r="AC4" s="32" t="s">
        <v>46</v>
      </c>
      <c r="AD4" s="32" t="s">
        <v>58</v>
      </c>
      <c r="AE4" s="32" t="s">
        <v>40</v>
      </c>
      <c r="AF4" s="32" t="s">
        <v>51</v>
      </c>
      <c r="AG4" s="32" t="s">
        <v>44</v>
      </c>
      <c r="AH4" s="32" t="s">
        <v>53</v>
      </c>
    </row>
    <row r="5" spans="1:34">
      <c r="A5" s="32" t="s">
        <v>57</v>
      </c>
      <c r="B5" s="32" t="s">
        <v>50</v>
      </c>
      <c r="C5" s="32"/>
      <c r="D5" s="40"/>
      <c r="E5" s="39" t="s">
        <v>61</v>
      </c>
      <c r="F5" s="39" t="s">
        <v>61</v>
      </c>
      <c r="G5" s="39" t="s">
        <v>61</v>
      </c>
      <c r="H5" s="39" t="s">
        <v>61</v>
      </c>
      <c r="I5" s="39" t="s">
        <v>61</v>
      </c>
      <c r="J5" s="39" t="s">
        <v>61</v>
      </c>
      <c r="K5" s="39" t="s">
        <v>61</v>
      </c>
      <c r="L5" s="39" t="s">
        <v>61</v>
      </c>
      <c r="M5" s="39" t="s">
        <v>61</v>
      </c>
      <c r="N5" s="39" t="s">
        <v>61</v>
      </c>
      <c r="O5" s="39" t="s">
        <v>61</v>
      </c>
      <c r="P5" s="39" t="s">
        <v>71</v>
      </c>
      <c r="Q5" s="39" t="s">
        <v>56</v>
      </c>
      <c r="R5" s="39" t="s">
        <v>56</v>
      </c>
      <c r="S5" s="39" t="s">
        <v>61</v>
      </c>
      <c r="T5" s="39" t="s">
        <v>61</v>
      </c>
      <c r="U5" s="39" t="s">
        <v>61</v>
      </c>
      <c r="V5" s="39" t="s">
        <v>61</v>
      </c>
      <c r="W5" s="39" t="s">
        <v>61</v>
      </c>
      <c r="X5" s="39" t="s">
        <v>61</v>
      </c>
      <c r="Y5" s="39" t="s">
        <v>56</v>
      </c>
      <c r="Z5" s="39" t="s">
        <v>56</v>
      </c>
      <c r="AA5" s="39" t="s">
        <v>56</v>
      </c>
      <c r="AB5" s="39" t="s">
        <v>61</v>
      </c>
      <c r="AC5" s="39" t="s">
        <v>56</v>
      </c>
      <c r="AD5" s="39" t="s">
        <v>61</v>
      </c>
      <c r="AE5" s="39" t="s">
        <v>61</v>
      </c>
      <c r="AF5" s="39" t="s">
        <v>45</v>
      </c>
      <c r="AG5" s="39" t="s">
        <v>70</v>
      </c>
      <c r="AH5" s="39" t="s">
        <v>56</v>
      </c>
    </row>
    <row r="6" spans="1:34" ht="27">
      <c r="A6" s="32"/>
      <c r="B6" s="33" t="s">
        <v>10</v>
      </c>
      <c r="C6" s="32"/>
      <c r="D6" s="26">
        <f>SUM(E6:AH6)</f>
        <v>0</v>
      </c>
      <c r="E6" s="34"/>
      <c r="F6" s="34"/>
      <c r="G6" s="34"/>
      <c r="H6" s="34"/>
      <c r="I6" s="36"/>
      <c r="J6" s="35"/>
      <c r="K6" s="34"/>
      <c r="L6" s="34"/>
      <c r="M6" s="34"/>
      <c r="N6" s="34"/>
      <c r="O6" s="29"/>
      <c r="P6" s="29"/>
      <c r="Q6" s="29"/>
      <c r="R6" s="28"/>
      <c r="S6" s="28"/>
      <c r="T6" s="28"/>
      <c r="U6" s="28"/>
      <c r="V6" s="29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</row>
    <row r="7" spans="1:34" ht="33">
      <c r="A7" s="32"/>
      <c r="B7" s="32" t="s">
        <v>9</v>
      </c>
      <c r="C7" s="32"/>
      <c r="D7" s="26">
        <f>SUM(E7:AH7)</f>
        <v>58630</v>
      </c>
      <c r="E7" s="34">
        <v>1380</v>
      </c>
      <c r="F7" s="34">
        <v>1733</v>
      </c>
      <c r="G7" s="34">
        <v>2717</v>
      </c>
      <c r="H7" s="34">
        <v>677</v>
      </c>
      <c r="I7" s="36">
        <v>711</v>
      </c>
      <c r="J7" s="35">
        <v>2833</v>
      </c>
      <c r="K7" s="34">
        <v>2737</v>
      </c>
      <c r="L7" s="34">
        <v>1511</v>
      </c>
      <c r="M7" s="34">
        <v>1320</v>
      </c>
      <c r="N7" s="34">
        <v>4765</v>
      </c>
      <c r="O7" s="29">
        <v>3370</v>
      </c>
      <c r="P7" s="29">
        <v>2450</v>
      </c>
      <c r="Q7" s="29">
        <v>1165</v>
      </c>
      <c r="R7" s="28">
        <v>1965</v>
      </c>
      <c r="S7" s="28">
        <v>3370</v>
      </c>
      <c r="T7" s="28">
        <v>2450</v>
      </c>
      <c r="U7" s="28">
        <v>1245</v>
      </c>
      <c r="V7" s="29">
        <v>1295</v>
      </c>
      <c r="W7" s="28">
        <v>3070</v>
      </c>
      <c r="X7" s="28">
        <v>2450</v>
      </c>
      <c r="Y7" s="28">
        <v>810</v>
      </c>
      <c r="Z7" s="28">
        <v>1415</v>
      </c>
      <c r="AA7" s="28">
        <v>2370</v>
      </c>
      <c r="AB7" s="28">
        <v>1650</v>
      </c>
      <c r="AC7" s="28">
        <v>1140</v>
      </c>
      <c r="AD7" s="28">
        <v>1183</v>
      </c>
      <c r="AE7" s="28">
        <v>2370</v>
      </c>
      <c r="AF7" s="28">
        <v>2555</v>
      </c>
      <c r="AG7" s="28">
        <v>1040</v>
      </c>
      <c r="AH7" s="28">
        <v>883</v>
      </c>
    </row>
    <row r="8" spans="1:34" ht="27">
      <c r="A8" s="32"/>
      <c r="B8" s="33" t="s">
        <v>5</v>
      </c>
      <c r="C8" s="32"/>
      <c r="D8" s="26">
        <f>SUM(E8:AH8)</f>
        <v>124477</v>
      </c>
      <c r="E8" s="34">
        <v>671</v>
      </c>
      <c r="F8" s="34">
        <v>2460</v>
      </c>
      <c r="G8" s="34">
        <v>796</v>
      </c>
      <c r="H8" s="34">
        <v>2480</v>
      </c>
      <c r="I8" s="36">
        <v>2510</v>
      </c>
      <c r="J8" s="35">
        <v>2405</v>
      </c>
      <c r="K8" s="34">
        <v>5412</v>
      </c>
      <c r="L8" s="34">
        <v>4180</v>
      </c>
      <c r="M8" s="34">
        <v>2180</v>
      </c>
      <c r="N8" s="34">
        <v>2753</v>
      </c>
      <c r="O8" s="29">
        <v>8542</v>
      </c>
      <c r="P8" s="29">
        <v>5460</v>
      </c>
      <c r="Q8" s="29">
        <v>4960</v>
      </c>
      <c r="R8" s="28">
        <v>1758</v>
      </c>
      <c r="S8" s="28">
        <v>7442</v>
      </c>
      <c r="T8" s="28">
        <v>3660</v>
      </c>
      <c r="U8" s="28">
        <v>5110</v>
      </c>
      <c r="V8" s="29">
        <v>2108</v>
      </c>
      <c r="W8" s="28">
        <v>6442</v>
      </c>
      <c r="X8" s="28">
        <v>3660</v>
      </c>
      <c r="Y8" s="28">
        <v>3710</v>
      </c>
      <c r="Z8" s="28">
        <v>1708</v>
      </c>
      <c r="AA8" s="28">
        <v>9442</v>
      </c>
      <c r="AB8" s="28">
        <v>10000</v>
      </c>
      <c r="AC8" s="28">
        <v>3760</v>
      </c>
      <c r="AD8" s="28">
        <v>2308</v>
      </c>
      <c r="AE8" s="28">
        <v>8442</v>
      </c>
      <c r="AF8" s="28">
        <v>3660</v>
      </c>
      <c r="AG8" s="28">
        <v>4160</v>
      </c>
      <c r="AH8" s="28">
        <v>2298</v>
      </c>
    </row>
    <row r="9" spans="1:34">
      <c r="A9" s="32"/>
      <c r="B9" s="32" t="s">
        <v>28</v>
      </c>
      <c r="C9" s="32"/>
      <c r="D9" s="26">
        <f>SUM(E9:AH9)</f>
        <v>21753</v>
      </c>
      <c r="E9" s="34">
        <v>616</v>
      </c>
      <c r="F9" s="34">
        <v>899</v>
      </c>
      <c r="G9" s="34">
        <v>330</v>
      </c>
      <c r="H9" s="34">
        <v>1020</v>
      </c>
      <c r="I9" s="36">
        <v>1610</v>
      </c>
      <c r="J9" s="35">
        <v>893</v>
      </c>
      <c r="K9" s="34">
        <v>320</v>
      </c>
      <c r="L9" s="34">
        <v>1220</v>
      </c>
      <c r="M9" s="34">
        <v>1500</v>
      </c>
      <c r="N9" s="34">
        <v>1057</v>
      </c>
      <c r="O9" s="29">
        <v>300</v>
      </c>
      <c r="P9" s="29">
        <v>970</v>
      </c>
      <c r="Q9" s="29">
        <v>1270</v>
      </c>
      <c r="R9" s="28">
        <v>736</v>
      </c>
      <c r="S9" s="28">
        <v>240</v>
      </c>
      <c r="T9" s="28">
        <v>970</v>
      </c>
      <c r="U9" s="28">
        <v>1030</v>
      </c>
      <c r="V9" s="29">
        <v>871</v>
      </c>
      <c r="W9" s="28"/>
      <c r="X9" s="28">
        <v>850</v>
      </c>
      <c r="Y9" s="28">
        <v>585</v>
      </c>
      <c r="Z9" s="28">
        <v>600</v>
      </c>
      <c r="AA9" s="28"/>
      <c r="AB9" s="28">
        <v>290</v>
      </c>
      <c r="AC9" s="28">
        <v>585</v>
      </c>
      <c r="AD9" s="28">
        <v>929</v>
      </c>
      <c r="AE9" s="28"/>
      <c r="AF9" s="28">
        <v>880</v>
      </c>
      <c r="AG9" s="28">
        <v>255</v>
      </c>
      <c r="AH9" s="28">
        <f>870+57</f>
        <v>927</v>
      </c>
    </row>
    <row r="10" spans="1:34">
      <c r="A10" s="32"/>
      <c r="B10" s="32" t="s">
        <v>42</v>
      </c>
      <c r="C10" s="32"/>
      <c r="D10" s="26">
        <f>SUM(E10:AH10)</f>
        <v>0</v>
      </c>
      <c r="E10" s="34"/>
      <c r="F10" s="34"/>
      <c r="G10" s="34"/>
      <c r="H10" s="34"/>
      <c r="I10" s="36"/>
      <c r="J10" s="35"/>
      <c r="K10" s="34"/>
      <c r="L10" s="34"/>
      <c r="M10" s="34"/>
      <c r="N10" s="34"/>
      <c r="O10" s="29"/>
      <c r="P10" s="29"/>
      <c r="Q10" s="29"/>
      <c r="R10" s="28"/>
      <c r="S10" s="28"/>
      <c r="T10" s="28"/>
      <c r="U10" s="28"/>
      <c r="V10" s="29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spans="1:34">
      <c r="A11" s="32"/>
      <c r="B11" s="32" t="s">
        <v>22</v>
      </c>
      <c r="C11" s="32"/>
      <c r="D11" s="26">
        <f>SUM(E11:AH11)</f>
        <v>0</v>
      </c>
      <c r="E11" s="34"/>
      <c r="F11" s="34"/>
      <c r="G11" s="34"/>
      <c r="H11" s="34"/>
      <c r="I11" s="36"/>
      <c r="J11" s="35"/>
      <c r="K11" s="34"/>
      <c r="L11" s="34"/>
      <c r="M11" s="34"/>
      <c r="N11" s="34"/>
      <c r="O11" s="29"/>
      <c r="P11" s="29"/>
      <c r="Q11" s="29"/>
      <c r="R11" s="28"/>
      <c r="S11" s="28"/>
      <c r="T11" s="28"/>
      <c r="U11" s="28"/>
      <c r="V11" s="29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 spans="1:34">
      <c r="A12" s="32"/>
      <c r="B12" s="32" t="s">
        <v>15</v>
      </c>
      <c r="C12" s="32"/>
      <c r="D12" s="26">
        <f>SUM(E12:AH12)</f>
        <v>0</v>
      </c>
      <c r="E12" s="34"/>
      <c r="F12" s="34"/>
      <c r="G12" s="34"/>
      <c r="H12" s="34"/>
      <c r="I12" s="36"/>
      <c r="J12" s="35"/>
      <c r="K12" s="34"/>
      <c r="L12" s="34"/>
      <c r="M12" s="34"/>
      <c r="N12" s="34"/>
      <c r="O12" s="29"/>
      <c r="P12" s="29"/>
      <c r="Q12" s="29"/>
      <c r="R12" s="28"/>
      <c r="S12" s="28"/>
      <c r="T12" s="28"/>
      <c r="U12" s="28"/>
      <c r="V12" s="29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ht="33">
      <c r="A13" s="32"/>
      <c r="B13" s="32" t="s">
        <v>18</v>
      </c>
      <c r="C13" s="32"/>
      <c r="D13" s="26">
        <f>SUM(E13:AH13)</f>
        <v>0</v>
      </c>
      <c r="E13" s="34"/>
      <c r="F13" s="34"/>
      <c r="G13" s="34"/>
      <c r="H13" s="34"/>
      <c r="I13" s="36"/>
      <c r="J13" s="35"/>
      <c r="K13" s="34"/>
      <c r="L13" s="34"/>
      <c r="M13" s="34"/>
      <c r="N13" s="34"/>
      <c r="O13" s="29"/>
      <c r="P13" s="29"/>
      <c r="Q13" s="29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ht="24">
      <c r="A14" s="32"/>
      <c r="B14" s="45" t="s">
        <v>6</v>
      </c>
      <c r="C14" s="32"/>
      <c r="D14" s="26">
        <f>SUM(E14:AH14)</f>
        <v>0</v>
      </c>
      <c r="E14" s="34"/>
      <c r="F14" s="34"/>
      <c r="G14" s="34"/>
      <c r="H14" s="34"/>
      <c r="I14" s="36"/>
      <c r="J14" s="35"/>
      <c r="K14" s="34"/>
      <c r="L14" s="34"/>
      <c r="M14" s="34"/>
      <c r="N14" s="34"/>
      <c r="O14" s="29"/>
      <c r="P14" s="29"/>
      <c r="Q14" s="29"/>
      <c r="R14" s="28"/>
      <c r="S14" s="28"/>
      <c r="T14" s="30"/>
      <c r="U14" s="28"/>
      <c r="V14" s="29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34">
      <c r="A15" s="32"/>
      <c r="B15" s="32" t="s">
        <v>52</v>
      </c>
      <c r="C15" s="32"/>
      <c r="D15" s="26">
        <f>SUM(E15:AH15)</f>
        <v>0</v>
      </c>
      <c r="E15" s="34"/>
      <c r="F15" s="34"/>
      <c r="G15" s="34"/>
      <c r="H15" s="34"/>
      <c r="I15" s="36"/>
      <c r="J15" s="35"/>
      <c r="K15" s="34"/>
      <c r="L15" s="34"/>
      <c r="M15" s="34"/>
      <c r="N15" s="34"/>
      <c r="O15" s="29"/>
      <c r="P15" s="29"/>
      <c r="Q15" s="29"/>
      <c r="R15" s="28"/>
      <c r="S15" s="28"/>
      <c r="T15" s="28"/>
      <c r="U15" s="28"/>
      <c r="V15" s="29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4">
      <c r="A16" s="32"/>
      <c r="B16" s="32" t="s">
        <v>62</v>
      </c>
      <c r="C16" s="32"/>
      <c r="D16" s="26">
        <f>SUM(E16:AH16)</f>
        <v>0</v>
      </c>
      <c r="E16" s="34"/>
      <c r="F16" s="34"/>
      <c r="G16" s="34"/>
      <c r="H16" s="34"/>
      <c r="I16" s="36"/>
      <c r="J16" s="35"/>
      <c r="K16" s="34"/>
      <c r="L16" s="34"/>
      <c r="M16" s="34"/>
      <c r="N16" s="34"/>
      <c r="O16" s="29"/>
      <c r="P16" s="29"/>
      <c r="Q16" s="29"/>
      <c r="R16" s="28"/>
      <c r="S16" s="28"/>
      <c r="T16" s="28"/>
      <c r="U16" s="28"/>
      <c r="V16" s="29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>
      <c r="A17" s="32"/>
      <c r="B17" s="32" t="s">
        <v>29</v>
      </c>
      <c r="C17" s="32"/>
      <c r="D17" s="26">
        <f>SUM(E17:AH17)</f>
        <v>0</v>
      </c>
      <c r="E17" s="34"/>
      <c r="F17" s="34"/>
      <c r="G17" s="34"/>
      <c r="H17" s="34"/>
      <c r="I17" s="36"/>
      <c r="J17" s="35"/>
      <c r="K17" s="34"/>
      <c r="L17" s="34"/>
      <c r="M17" s="38"/>
      <c r="N17" s="34"/>
      <c r="O17" s="29"/>
      <c r="P17" s="29"/>
      <c r="Q17" s="29"/>
      <c r="R17" s="28"/>
      <c r="S17" s="28"/>
      <c r="T17" s="37"/>
      <c r="U17" s="28"/>
      <c r="V17" s="29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 spans="1:34">
      <c r="A18" s="32"/>
      <c r="B18" s="32" t="s">
        <v>54</v>
      </c>
      <c r="C18" s="32"/>
      <c r="D18" s="26">
        <f>SUM(E18:AH18)</f>
        <v>122759</v>
      </c>
      <c r="E18" s="34">
        <v>1086</v>
      </c>
      <c r="F18" s="34">
        <v>4123</v>
      </c>
      <c r="G18" s="34">
        <v>950</v>
      </c>
      <c r="H18" s="34">
        <v>530</v>
      </c>
      <c r="I18" s="36">
        <v>2900</v>
      </c>
      <c r="J18" s="35">
        <v>4203</v>
      </c>
      <c r="K18" s="34">
        <v>3444</v>
      </c>
      <c r="L18" s="34">
        <v>2030</v>
      </c>
      <c r="M18" s="34">
        <v>3180</v>
      </c>
      <c r="N18" s="34">
        <v>5003</v>
      </c>
      <c r="O18" s="29">
        <v>7844</v>
      </c>
      <c r="P18" s="29">
        <v>2600</v>
      </c>
      <c r="Q18" s="29">
        <v>2470</v>
      </c>
      <c r="R18" s="28">
        <v>5093</v>
      </c>
      <c r="S18" s="28">
        <v>8944</v>
      </c>
      <c r="T18" s="28">
        <v>2580</v>
      </c>
      <c r="U18" s="28">
        <v>4470</v>
      </c>
      <c r="V18" s="29">
        <v>3893</v>
      </c>
      <c r="W18" s="28">
        <v>5744</v>
      </c>
      <c r="X18" s="28">
        <v>2030</v>
      </c>
      <c r="Y18" s="28">
        <v>4750</v>
      </c>
      <c r="Z18" s="28">
        <f>2250+893</f>
        <v>3143</v>
      </c>
      <c r="AA18" s="28">
        <v>5764</v>
      </c>
      <c r="AB18" s="28">
        <v>9630</v>
      </c>
      <c r="AC18" s="28">
        <v>5090</v>
      </c>
      <c r="AD18" s="28">
        <v>3128</v>
      </c>
      <c r="AE18" s="28">
        <v>6864</v>
      </c>
      <c r="AF18" s="28">
        <v>3300</v>
      </c>
      <c r="AG18" s="28">
        <f>4020+1250</f>
        <v>5270</v>
      </c>
      <c r="AH18" s="28">
        <f>1888+815</f>
        <v>2703</v>
      </c>
    </row>
    <row r="19" spans="1:34">
      <c r="A19" s="32"/>
      <c r="B19" s="32" t="s">
        <v>43</v>
      </c>
      <c r="C19" s="32"/>
      <c r="D19" s="26">
        <f>SUM(E19:AH19)</f>
        <v>0</v>
      </c>
      <c r="E19" s="34"/>
      <c r="F19" s="34"/>
      <c r="G19" s="34"/>
      <c r="H19" s="34"/>
      <c r="I19" s="36"/>
      <c r="J19" s="35"/>
      <c r="K19" s="34"/>
      <c r="L19" s="34"/>
      <c r="M19" s="34"/>
      <c r="N19" s="34"/>
      <c r="O19" s="29"/>
      <c r="P19" s="29"/>
      <c r="Q19" s="29"/>
      <c r="R19" s="28"/>
      <c r="S19" s="28"/>
      <c r="T19" s="28"/>
      <c r="U19" s="28"/>
      <c r="V19" s="29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t="49.5">
      <c r="A20" s="32"/>
      <c r="B20" s="32" t="s">
        <v>12</v>
      </c>
      <c r="C20" s="32"/>
      <c r="D20" s="26">
        <f>SUM(E20:AH20)</f>
        <v>2262</v>
      </c>
      <c r="E20" s="34">
        <v>40</v>
      </c>
      <c r="F20" s="34">
        <v>127</v>
      </c>
      <c r="G20" s="34">
        <v>10</v>
      </c>
      <c r="H20" s="34">
        <v>14</v>
      </c>
      <c r="I20" s="36">
        <v>113</v>
      </c>
      <c r="J20" s="35">
        <v>108</v>
      </c>
      <c r="K20" s="34">
        <v>168</v>
      </c>
      <c r="L20" s="34">
        <v>15</v>
      </c>
      <c r="M20" s="34">
        <v>35</v>
      </c>
      <c r="N20" s="34">
        <v>104</v>
      </c>
      <c r="O20" s="29">
        <v>168</v>
      </c>
      <c r="P20" s="29">
        <v>45</v>
      </c>
      <c r="Q20" s="29">
        <v>40</v>
      </c>
      <c r="R20" s="28">
        <v>66</v>
      </c>
      <c r="S20" s="28">
        <v>168</v>
      </c>
      <c r="T20" s="28">
        <v>45</v>
      </c>
      <c r="U20" s="28">
        <v>58</v>
      </c>
      <c r="V20" s="29">
        <v>86</v>
      </c>
      <c r="W20" s="28">
        <v>133</v>
      </c>
      <c r="X20" s="28"/>
      <c r="Y20" s="28">
        <v>44</v>
      </c>
      <c r="Z20" s="28">
        <v>49</v>
      </c>
      <c r="AA20" s="28">
        <v>133</v>
      </c>
      <c r="AB20" s="28">
        <v>130</v>
      </c>
      <c r="AC20" s="28">
        <v>45</v>
      </c>
      <c r="AD20" s="28">
        <v>41</v>
      </c>
      <c r="AE20" s="28">
        <v>132</v>
      </c>
      <c r="AF20" s="28">
        <v>45</v>
      </c>
      <c r="AG20" s="28">
        <v>65</v>
      </c>
      <c r="AH20" s="28">
        <f>18+17</f>
        <v>35</v>
      </c>
    </row>
    <row r="21" spans="1:34">
      <c r="A21" s="32"/>
      <c r="B21" s="32" t="s">
        <v>39</v>
      </c>
      <c r="C21" s="32"/>
      <c r="D21" s="26">
        <f>SUM(E21:AH21)</f>
        <v>1319</v>
      </c>
      <c r="E21" s="34">
        <v>53</v>
      </c>
      <c r="F21" s="34">
        <v>239</v>
      </c>
      <c r="G21" s="34">
        <v>11</v>
      </c>
      <c r="H21" s="34">
        <v>5</v>
      </c>
      <c r="I21" s="36">
        <v>93</v>
      </c>
      <c r="J21" s="35">
        <v>73</v>
      </c>
      <c r="K21" s="34">
        <v>46</v>
      </c>
      <c r="L21" s="34">
        <v>4</v>
      </c>
      <c r="M21" s="34">
        <v>40</v>
      </c>
      <c r="N21" s="34">
        <v>87</v>
      </c>
      <c r="O21" s="29">
        <v>78</v>
      </c>
      <c r="P21" s="29"/>
      <c r="Q21" s="29" t="s">
        <v>69</v>
      </c>
      <c r="R21" s="28">
        <v>59</v>
      </c>
      <c r="S21" s="28">
        <v>78</v>
      </c>
      <c r="T21" s="28"/>
      <c r="U21" s="28">
        <v>30</v>
      </c>
      <c r="V21" s="29">
        <v>139</v>
      </c>
      <c r="W21" s="28">
        <v>66</v>
      </c>
      <c r="X21" s="28"/>
      <c r="Y21" s="28">
        <v>8</v>
      </c>
      <c r="Z21" s="28">
        <v>17</v>
      </c>
      <c r="AA21" s="28">
        <v>65</v>
      </c>
      <c r="AB21" s="28"/>
      <c r="AC21" s="28">
        <v>8</v>
      </c>
      <c r="AD21" s="28">
        <v>22</v>
      </c>
      <c r="AE21" s="28">
        <v>76</v>
      </c>
      <c r="AF21" s="28"/>
      <c r="AG21" s="28"/>
      <c r="AH21" s="28">
        <v>22</v>
      </c>
    </row>
    <row r="22" spans="1:34">
      <c r="A22" s="32"/>
      <c r="B22" s="32" t="s">
        <v>59</v>
      </c>
      <c r="C22" s="32"/>
      <c r="D22" s="26">
        <f>SUM(E22:AH22)</f>
        <v>107</v>
      </c>
      <c r="E22" s="34">
        <v>8</v>
      </c>
      <c r="F22" s="34"/>
      <c r="G22" s="34"/>
      <c r="H22" s="34">
        <v>6</v>
      </c>
      <c r="I22" s="36">
        <v>82</v>
      </c>
      <c r="J22" s="35"/>
      <c r="K22" s="34"/>
      <c r="L22" s="34">
        <v>6</v>
      </c>
      <c r="M22" s="34">
        <v>5</v>
      </c>
      <c r="N22" s="34"/>
      <c r="O22" s="29"/>
      <c r="P22" s="29"/>
      <c r="Q22" s="29"/>
      <c r="R22" s="28"/>
      <c r="S22" s="28"/>
      <c r="T22" s="28"/>
      <c r="U22" s="28"/>
      <c r="V22" s="29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 spans="1:34" ht="24">
      <c r="A23" s="32"/>
      <c r="B23" s="45" t="s">
        <v>7</v>
      </c>
      <c r="C23" s="32"/>
      <c r="D23" s="26">
        <f>SUM(E23:AH23)</f>
        <v>0</v>
      </c>
      <c r="E23" s="28"/>
      <c r="F23" s="28"/>
      <c r="G23" s="28"/>
      <c r="H23" s="28"/>
      <c r="I23" s="30"/>
      <c r="J23" s="31"/>
      <c r="K23" s="28"/>
      <c r="L23" s="28"/>
      <c r="M23" s="28"/>
      <c r="N23" s="28"/>
      <c r="O23" s="29"/>
      <c r="P23" s="29"/>
      <c r="Q23" s="29"/>
      <c r="R23" s="28"/>
      <c r="S23" s="30"/>
      <c r="T23" s="28"/>
      <c r="U23" s="28"/>
      <c r="V23" s="29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>
      <c r="A24" s="27" t="s">
        <v>63</v>
      </c>
      <c r="B24" s="27"/>
      <c r="C24" s="27"/>
      <c r="D24" s="26">
        <f>SUM(D6:D23)</f>
        <v>331307</v>
      </c>
      <c r="E24" s="26">
        <f>SUM(E6:E23)</f>
        <v>3854</v>
      </c>
      <c r="F24" s="26">
        <f>SUM(F6:F23)</f>
        <v>9581</v>
      </c>
      <c r="G24" s="26">
        <f>SUM(G6:G23)</f>
        <v>4814</v>
      </c>
      <c r="H24" s="26">
        <f>SUM(H6:H23)</f>
        <v>4732</v>
      </c>
      <c r="I24" s="26">
        <f>SUM(I6:I23)</f>
        <v>8019</v>
      </c>
      <c r="J24" s="26">
        <f>SUM(J6:J23)</f>
        <v>10515</v>
      </c>
      <c r="K24" s="26">
        <f>SUM(K6:K23)</f>
        <v>12127</v>
      </c>
      <c r="L24" s="26">
        <f>SUM(L6:L23)</f>
        <v>8966</v>
      </c>
      <c r="M24" s="26">
        <f>SUM(M6:M23)</f>
        <v>8260</v>
      </c>
      <c r="N24" s="26">
        <f>SUM(N6:N23)</f>
        <v>13769</v>
      </c>
      <c r="O24" s="26">
        <f>SUM(O6:O23)</f>
        <v>20302</v>
      </c>
      <c r="P24" s="26">
        <f>SUM(P6:P23)</f>
        <v>11525</v>
      </c>
      <c r="Q24" s="26">
        <f>SUM(Q6:Q23)</f>
        <v>9905</v>
      </c>
      <c r="R24" s="26">
        <f>SUM(R6:R23)</f>
        <v>9677</v>
      </c>
      <c r="S24" s="26">
        <f>SUM(S6:S23)</f>
        <v>20242</v>
      </c>
      <c r="T24" s="26">
        <f>SUM(T6:T23)</f>
        <v>9705</v>
      </c>
      <c r="U24" s="26">
        <f>SUM(U6:U23)</f>
        <v>11943</v>
      </c>
      <c r="V24" s="26">
        <f>SUM(V6:V23)</f>
        <v>8392</v>
      </c>
      <c r="W24" s="26">
        <f>SUM(W6:W23)</f>
        <v>15455</v>
      </c>
      <c r="X24" s="26">
        <f>SUM(X6:X23)</f>
        <v>8990</v>
      </c>
      <c r="Y24" s="26">
        <f>SUM(Y6:Y23)</f>
        <v>9907</v>
      </c>
      <c r="Z24" s="26">
        <f>SUM(Z6:Z23)</f>
        <v>6932</v>
      </c>
      <c r="AA24" s="26">
        <f>SUM(AA6:AA23)</f>
        <v>17774</v>
      </c>
      <c r="AB24" s="26">
        <f>SUM(AB6:AB23)</f>
        <v>21700</v>
      </c>
      <c r="AC24" s="26">
        <f>SUM(AC6:AC23)</f>
        <v>10628</v>
      </c>
      <c r="AD24" s="26">
        <f>SUM(AD6:AD23)</f>
        <v>7611</v>
      </c>
      <c r="AE24" s="26">
        <f>SUM(AE6:AE23)</f>
        <v>17884</v>
      </c>
      <c r="AF24" s="26">
        <f>SUM(AF6:AF23)</f>
        <v>10440</v>
      </c>
      <c r="AG24" s="26">
        <f>SUM(AG6:AG23)</f>
        <v>10790</v>
      </c>
      <c r="AH24" s="26">
        <f>SUM(AH6:AH23)</f>
        <v>6868</v>
      </c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/>
  </sheetViews>
  <sheetFormatPr defaultRowHeight="16.5"/>
  <cols>
    <col min="1" max="16384" width="9" style="46"/>
  </cols>
  <sheetData>
    <row r="1" spans="1:35" ht="31.5">
      <c r="B1" s="43"/>
      <c r="C1" s="43"/>
      <c r="F1" s="43" t="s">
        <v>36</v>
      </c>
    </row>
    <row r="2" spans="1:35" ht="26.25">
      <c r="A2" s="4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35">
      <c r="A3" s="27" t="s">
        <v>47</v>
      </c>
      <c r="B3" s="27"/>
      <c r="C3" s="27"/>
      <c r="D3" s="27" t="s">
        <v>64</v>
      </c>
      <c r="E3" s="47">
        <v>1</v>
      </c>
      <c r="F3" s="27">
        <v>2</v>
      </c>
      <c r="G3" s="27">
        <v>3</v>
      </c>
      <c r="H3" s="27">
        <v>4</v>
      </c>
      <c r="I3" s="47">
        <v>5</v>
      </c>
      <c r="J3" s="27">
        <v>6</v>
      </c>
      <c r="K3" s="27">
        <v>7</v>
      </c>
      <c r="L3" s="4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4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4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47">
        <v>29</v>
      </c>
      <c r="AH3" s="27">
        <v>30</v>
      </c>
      <c r="AI3" s="27">
        <v>31</v>
      </c>
    </row>
    <row r="4" spans="1:35">
      <c r="A4" s="27" t="s">
        <v>49</v>
      </c>
      <c r="B4" s="27"/>
      <c r="C4" s="27"/>
      <c r="D4" s="27"/>
      <c r="E4" s="48" t="s">
        <v>73</v>
      </c>
      <c r="F4" s="32" t="s">
        <v>46</v>
      </c>
      <c r="G4" s="32" t="s">
        <v>58</v>
      </c>
      <c r="H4" s="32" t="s">
        <v>40</v>
      </c>
      <c r="I4" s="48" t="s">
        <v>51</v>
      </c>
      <c r="J4" s="32" t="s">
        <v>44</v>
      </c>
      <c r="K4" s="32" t="s">
        <v>53</v>
      </c>
      <c r="L4" s="48" t="s">
        <v>55</v>
      </c>
      <c r="M4" s="32" t="s">
        <v>46</v>
      </c>
      <c r="N4" s="32" t="s">
        <v>58</v>
      </c>
      <c r="O4" s="32" t="s">
        <v>40</v>
      </c>
      <c r="P4" s="32" t="s">
        <v>51</v>
      </c>
      <c r="Q4" s="32" t="s">
        <v>44</v>
      </c>
      <c r="R4" s="32" t="s">
        <v>53</v>
      </c>
      <c r="S4" s="48" t="s">
        <v>55</v>
      </c>
      <c r="T4" s="32" t="s">
        <v>46</v>
      </c>
      <c r="U4" s="32" t="s">
        <v>58</v>
      </c>
      <c r="V4" s="32" t="s">
        <v>40</v>
      </c>
      <c r="W4" s="32" t="s">
        <v>51</v>
      </c>
      <c r="X4" s="32" t="s">
        <v>44</v>
      </c>
      <c r="Y4" s="32" t="s">
        <v>53</v>
      </c>
      <c r="Z4" s="48" t="s">
        <v>55</v>
      </c>
      <c r="AA4" s="32" t="s">
        <v>46</v>
      </c>
      <c r="AB4" s="32" t="s">
        <v>58</v>
      </c>
      <c r="AC4" s="32" t="s">
        <v>40</v>
      </c>
      <c r="AD4" s="32" t="s">
        <v>51</v>
      </c>
      <c r="AE4" s="32" t="s">
        <v>44</v>
      </c>
      <c r="AF4" s="32" t="s">
        <v>53</v>
      </c>
      <c r="AG4" s="48" t="s">
        <v>55</v>
      </c>
      <c r="AH4" s="32" t="s">
        <v>46</v>
      </c>
      <c r="AI4" s="32" t="s">
        <v>58</v>
      </c>
    </row>
    <row r="5" spans="1:35">
      <c r="A5" s="32" t="s">
        <v>57</v>
      </c>
      <c r="B5" s="32" t="s">
        <v>50</v>
      </c>
      <c r="C5" s="32"/>
      <c r="D5" s="40"/>
      <c r="E5" s="39" t="s">
        <v>61</v>
      </c>
      <c r="F5" s="39" t="s">
        <v>61</v>
      </c>
      <c r="G5" s="39" t="s">
        <v>56</v>
      </c>
      <c r="H5" s="39" t="s">
        <v>61</v>
      </c>
      <c r="I5" s="39" t="s">
        <v>61</v>
      </c>
      <c r="J5" s="39" t="s">
        <v>61</v>
      </c>
      <c r="K5" s="39" t="s">
        <v>61</v>
      </c>
      <c r="L5" s="39" t="s">
        <v>56</v>
      </c>
      <c r="M5" s="39" t="s">
        <v>61</v>
      </c>
      <c r="N5" s="39" t="s">
        <v>45</v>
      </c>
      <c r="O5" s="39" t="s">
        <v>56</v>
      </c>
      <c r="P5" s="39" t="s">
        <v>61</v>
      </c>
      <c r="Q5" s="39" t="s">
        <v>61</v>
      </c>
      <c r="R5" s="39" t="s">
        <v>61</v>
      </c>
      <c r="S5" s="39" t="s">
        <v>61</v>
      </c>
      <c r="T5" s="39" t="s">
        <v>61</v>
      </c>
      <c r="U5" s="39" t="s">
        <v>61</v>
      </c>
      <c r="V5" s="49" t="s">
        <v>74</v>
      </c>
      <c r="W5" s="39" t="s">
        <v>61</v>
      </c>
      <c r="X5" s="39" t="s">
        <v>61</v>
      </c>
      <c r="Y5" s="39" t="s">
        <v>61</v>
      </c>
      <c r="Z5" s="39" t="s">
        <v>61</v>
      </c>
      <c r="AA5" s="39" t="s">
        <v>61</v>
      </c>
      <c r="AB5" s="39" t="s">
        <v>61</v>
      </c>
      <c r="AC5" s="39" t="s">
        <v>75</v>
      </c>
      <c r="AD5" s="39" t="s">
        <v>61</v>
      </c>
      <c r="AE5" s="39" t="s">
        <v>61</v>
      </c>
      <c r="AF5" s="39" t="s">
        <v>61</v>
      </c>
      <c r="AG5" s="39" t="s">
        <v>61</v>
      </c>
      <c r="AH5" s="39" t="s">
        <v>56</v>
      </c>
      <c r="AI5" s="39" t="s">
        <v>56</v>
      </c>
    </row>
    <row r="6" spans="1:35" ht="33">
      <c r="A6" s="32"/>
      <c r="B6" s="32" t="s">
        <v>10</v>
      </c>
      <c r="C6" s="32"/>
      <c r="D6" s="26">
        <f t="shared" ref="D6:D23" si="0">SUM(E6:AH6)</f>
        <v>0</v>
      </c>
      <c r="E6" s="34"/>
      <c r="F6" s="34"/>
      <c r="G6" s="34"/>
      <c r="H6" s="34"/>
      <c r="I6" s="36"/>
      <c r="J6" s="35"/>
      <c r="K6" s="34"/>
      <c r="L6" s="34"/>
      <c r="M6" s="34"/>
      <c r="N6" s="34"/>
      <c r="O6" s="29"/>
      <c r="P6" s="29"/>
      <c r="Q6" s="29"/>
      <c r="R6" s="28"/>
      <c r="S6" s="28"/>
      <c r="T6" s="28"/>
      <c r="U6" s="28"/>
      <c r="V6" s="29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ht="33">
      <c r="A7" s="32"/>
      <c r="B7" s="32" t="s">
        <v>9</v>
      </c>
      <c r="C7" s="32"/>
      <c r="D7" s="26">
        <f t="shared" si="0"/>
        <v>93823</v>
      </c>
      <c r="E7" s="34">
        <v>4378</v>
      </c>
      <c r="F7" s="34">
        <v>3027</v>
      </c>
      <c r="G7" s="34">
        <v>2713</v>
      </c>
      <c r="H7" s="34">
        <v>1710</v>
      </c>
      <c r="I7" s="36">
        <v>4000</v>
      </c>
      <c r="J7" s="35">
        <v>2500</v>
      </c>
      <c r="K7" s="34">
        <v>5000</v>
      </c>
      <c r="L7" s="34">
        <v>4000</v>
      </c>
      <c r="M7" s="34">
        <v>1300</v>
      </c>
      <c r="N7" s="34">
        <v>2700</v>
      </c>
      <c r="O7" s="29">
        <v>3370</v>
      </c>
      <c r="P7" s="29">
        <v>2450</v>
      </c>
      <c r="Q7" s="29">
        <v>2265</v>
      </c>
      <c r="R7" s="28">
        <v>3200</v>
      </c>
      <c r="S7" s="28">
        <v>5000</v>
      </c>
      <c r="T7" s="28">
        <v>2450</v>
      </c>
      <c r="U7" s="28">
        <v>2000</v>
      </c>
      <c r="V7" s="29">
        <v>1500</v>
      </c>
      <c r="W7" s="28">
        <v>3200</v>
      </c>
      <c r="X7" s="28">
        <v>3500</v>
      </c>
      <c r="Y7" s="28">
        <v>4200</v>
      </c>
      <c r="Z7" s="28">
        <v>5000</v>
      </c>
      <c r="AA7" s="28">
        <v>2370</v>
      </c>
      <c r="AB7" s="28">
        <v>1650</v>
      </c>
      <c r="AC7" s="28">
        <v>1140</v>
      </c>
      <c r="AD7" s="28">
        <v>2300</v>
      </c>
      <c r="AE7" s="28">
        <v>4000</v>
      </c>
      <c r="AF7" s="28">
        <v>5000</v>
      </c>
      <c r="AG7" s="28">
        <v>6400</v>
      </c>
      <c r="AH7" s="28">
        <v>1500</v>
      </c>
      <c r="AI7" s="28">
        <v>1200</v>
      </c>
    </row>
    <row r="8" spans="1:35" ht="33">
      <c r="A8" s="32"/>
      <c r="B8" s="32" t="s">
        <v>5</v>
      </c>
      <c r="C8" s="32"/>
      <c r="D8" s="26">
        <f t="shared" si="0"/>
        <v>143850</v>
      </c>
      <c r="E8" s="34">
        <v>6500</v>
      </c>
      <c r="F8" s="34">
        <v>3141</v>
      </c>
      <c r="G8" s="34">
        <v>2896</v>
      </c>
      <c r="H8" s="34">
        <v>3480</v>
      </c>
      <c r="I8" s="36">
        <v>8500</v>
      </c>
      <c r="J8" s="35">
        <v>3305</v>
      </c>
      <c r="K8" s="34">
        <v>6400</v>
      </c>
      <c r="L8" s="34">
        <v>7000</v>
      </c>
      <c r="M8" s="34">
        <v>3100</v>
      </c>
      <c r="N8" s="34">
        <v>2500</v>
      </c>
      <c r="O8" s="29">
        <v>3000</v>
      </c>
      <c r="P8" s="29">
        <v>5460</v>
      </c>
      <c r="Q8" s="29">
        <v>5160</v>
      </c>
      <c r="R8" s="28">
        <v>6700</v>
      </c>
      <c r="S8" s="28">
        <v>7600</v>
      </c>
      <c r="T8" s="28">
        <v>3500</v>
      </c>
      <c r="U8" s="28">
        <v>5000</v>
      </c>
      <c r="V8" s="29">
        <v>2108</v>
      </c>
      <c r="W8" s="28">
        <v>6000</v>
      </c>
      <c r="X8" s="28">
        <v>4500</v>
      </c>
      <c r="Y8" s="28">
        <v>4500</v>
      </c>
      <c r="Z8" s="28">
        <v>7000</v>
      </c>
      <c r="AA8" s="28">
        <v>4100</v>
      </c>
      <c r="AB8" s="28">
        <v>4000</v>
      </c>
      <c r="AC8" s="28">
        <v>3000</v>
      </c>
      <c r="AD8" s="28">
        <v>2000</v>
      </c>
      <c r="AE8" s="28">
        <v>7900</v>
      </c>
      <c r="AF8" s="28">
        <v>6000</v>
      </c>
      <c r="AG8" s="28">
        <v>7000</v>
      </c>
      <c r="AH8" s="28">
        <v>2500</v>
      </c>
      <c r="AI8" s="28">
        <v>2500</v>
      </c>
    </row>
    <row r="9" spans="1:35">
      <c r="A9" s="32"/>
      <c r="B9" s="32" t="s">
        <v>28</v>
      </c>
      <c r="C9" s="32"/>
      <c r="D9" s="26">
        <f t="shared" si="0"/>
        <v>24575</v>
      </c>
      <c r="E9" s="34">
        <v>1100</v>
      </c>
      <c r="F9" s="34">
        <v>900</v>
      </c>
      <c r="G9" s="34">
        <v>450</v>
      </c>
      <c r="H9" s="34">
        <v>700</v>
      </c>
      <c r="I9" s="36">
        <v>1610</v>
      </c>
      <c r="J9" s="35">
        <v>500</v>
      </c>
      <c r="K9" s="34">
        <v>400</v>
      </c>
      <c r="L9" s="34">
        <v>1220</v>
      </c>
      <c r="M9" s="34">
        <v>1500</v>
      </c>
      <c r="N9" s="34">
        <v>1000</v>
      </c>
      <c r="O9" s="29">
        <v>300</v>
      </c>
      <c r="P9" s="29">
        <v>970</v>
      </c>
      <c r="Q9" s="29">
        <v>1270</v>
      </c>
      <c r="R9" s="28">
        <v>800</v>
      </c>
      <c r="S9" s="28">
        <v>550</v>
      </c>
      <c r="T9" s="28">
        <v>970</v>
      </c>
      <c r="U9" s="28">
        <v>1030</v>
      </c>
      <c r="V9" s="29">
        <v>871</v>
      </c>
      <c r="W9" s="28">
        <v>1000</v>
      </c>
      <c r="X9" s="28">
        <v>850</v>
      </c>
      <c r="Y9" s="28">
        <v>585</v>
      </c>
      <c r="Z9" s="28">
        <v>600</v>
      </c>
      <c r="AA9" s="28">
        <v>1000</v>
      </c>
      <c r="AB9" s="28">
        <v>290</v>
      </c>
      <c r="AC9" s="28">
        <v>200</v>
      </c>
      <c r="AD9" s="28">
        <v>929</v>
      </c>
      <c r="AE9" s="28">
        <v>700</v>
      </c>
      <c r="AF9" s="28">
        <v>880</v>
      </c>
      <c r="AG9" s="28">
        <v>1000</v>
      </c>
      <c r="AH9" s="28">
        <v>400</v>
      </c>
      <c r="AI9" s="28">
        <v>300</v>
      </c>
    </row>
    <row r="10" spans="1:35">
      <c r="A10" s="32"/>
      <c r="B10" s="32" t="s">
        <v>42</v>
      </c>
      <c r="C10" s="32"/>
      <c r="D10" s="26">
        <f t="shared" si="0"/>
        <v>0</v>
      </c>
      <c r="E10" s="34"/>
      <c r="F10" s="34"/>
      <c r="G10" s="34"/>
      <c r="H10" s="34"/>
      <c r="I10" s="36"/>
      <c r="J10" s="35"/>
      <c r="K10" s="34"/>
      <c r="L10" s="34"/>
      <c r="M10" s="34"/>
      <c r="N10" s="34"/>
      <c r="O10" s="29"/>
      <c r="P10" s="29"/>
      <c r="Q10" s="29"/>
      <c r="R10" s="28"/>
      <c r="S10" s="28"/>
      <c r="T10" s="28"/>
      <c r="U10" s="28"/>
      <c r="V10" s="29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>
      <c r="A11" s="32"/>
      <c r="B11" s="32" t="s">
        <v>22</v>
      </c>
      <c r="C11" s="32"/>
      <c r="D11" s="26">
        <f t="shared" si="0"/>
        <v>0</v>
      </c>
      <c r="E11" s="34"/>
      <c r="F11" s="34"/>
      <c r="G11" s="34"/>
      <c r="H11" s="34"/>
      <c r="I11" s="36"/>
      <c r="J11" s="35"/>
      <c r="K11" s="34"/>
      <c r="L11" s="34"/>
      <c r="M11" s="34"/>
      <c r="N11" s="34"/>
      <c r="O11" s="29"/>
      <c r="P11" s="29"/>
      <c r="Q11" s="29"/>
      <c r="R11" s="28"/>
      <c r="S11" s="28"/>
      <c r="T11" s="28"/>
      <c r="U11" s="28"/>
      <c r="V11" s="29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>
      <c r="A12" s="32"/>
      <c r="B12" s="32" t="s">
        <v>15</v>
      </c>
      <c r="C12" s="32"/>
      <c r="D12" s="26">
        <f t="shared" si="0"/>
        <v>0</v>
      </c>
      <c r="E12" s="34"/>
      <c r="F12" s="34"/>
      <c r="G12" s="34"/>
      <c r="H12" s="34"/>
      <c r="I12" s="36"/>
      <c r="J12" s="35"/>
      <c r="K12" s="34"/>
      <c r="L12" s="34"/>
      <c r="M12" s="34"/>
      <c r="N12" s="34"/>
      <c r="O12" s="29"/>
      <c r="P12" s="29"/>
      <c r="Q12" s="29"/>
      <c r="R12" s="28"/>
      <c r="S12" s="28"/>
      <c r="T12" s="28"/>
      <c r="U12" s="28"/>
      <c r="V12" s="29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ht="33">
      <c r="A13" s="32"/>
      <c r="B13" s="32" t="s">
        <v>18</v>
      </c>
      <c r="C13" s="32"/>
      <c r="D13" s="26">
        <f t="shared" si="0"/>
        <v>0</v>
      </c>
      <c r="E13" s="34"/>
      <c r="F13" s="34"/>
      <c r="G13" s="34"/>
      <c r="H13" s="34"/>
      <c r="I13" s="36"/>
      <c r="J13" s="35"/>
      <c r="K13" s="34"/>
      <c r="L13" s="34"/>
      <c r="M13" s="34"/>
      <c r="N13" s="34"/>
      <c r="O13" s="29"/>
      <c r="P13" s="29"/>
      <c r="Q13" s="29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ht="33">
      <c r="A14" s="32"/>
      <c r="B14" s="32" t="s">
        <v>6</v>
      </c>
      <c r="C14" s="32"/>
      <c r="D14" s="26">
        <f t="shared" si="0"/>
        <v>0</v>
      </c>
      <c r="E14" s="34"/>
      <c r="F14" s="34"/>
      <c r="G14" s="34"/>
      <c r="H14" s="34"/>
      <c r="I14" s="36"/>
      <c r="J14" s="35"/>
      <c r="K14" s="34"/>
      <c r="L14" s="34"/>
      <c r="M14" s="34"/>
      <c r="N14" s="34"/>
      <c r="O14" s="29"/>
      <c r="P14" s="29"/>
      <c r="Q14" s="29"/>
      <c r="R14" s="28"/>
      <c r="S14" s="28"/>
      <c r="T14" s="30"/>
      <c r="U14" s="28"/>
      <c r="V14" s="29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>
      <c r="A15" s="32"/>
      <c r="B15" s="32" t="s">
        <v>52</v>
      </c>
      <c r="C15" s="32"/>
      <c r="D15" s="26">
        <f t="shared" si="0"/>
        <v>0</v>
      </c>
      <c r="E15" s="34"/>
      <c r="F15" s="34"/>
      <c r="G15" s="34"/>
      <c r="H15" s="34"/>
      <c r="I15" s="36"/>
      <c r="J15" s="35"/>
      <c r="K15" s="34"/>
      <c r="L15" s="34"/>
      <c r="M15" s="34"/>
      <c r="N15" s="34"/>
      <c r="O15" s="29"/>
      <c r="P15" s="29"/>
      <c r="Q15" s="29"/>
      <c r="R15" s="28"/>
      <c r="S15" s="28"/>
      <c r="T15" s="28"/>
      <c r="U15" s="28"/>
      <c r="V15" s="29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>
      <c r="A16" s="32"/>
      <c r="B16" s="32" t="s">
        <v>62</v>
      </c>
      <c r="C16" s="32"/>
      <c r="D16" s="26">
        <f t="shared" si="0"/>
        <v>0</v>
      </c>
      <c r="E16" s="34"/>
      <c r="F16" s="34"/>
      <c r="G16" s="34"/>
      <c r="H16" s="34"/>
      <c r="I16" s="36"/>
      <c r="J16" s="35"/>
      <c r="K16" s="34"/>
      <c r="L16" s="34"/>
      <c r="M16" s="34"/>
      <c r="N16" s="34"/>
      <c r="O16" s="29"/>
      <c r="P16" s="29"/>
      <c r="Q16" s="29"/>
      <c r="R16" s="28"/>
      <c r="S16" s="28"/>
      <c r="T16" s="28"/>
      <c r="U16" s="28"/>
      <c r="V16" s="29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>
      <c r="A17" s="32"/>
      <c r="B17" s="32" t="s">
        <v>29</v>
      </c>
      <c r="C17" s="32"/>
      <c r="D17" s="26">
        <f t="shared" si="0"/>
        <v>0</v>
      </c>
      <c r="E17" s="34"/>
      <c r="F17" s="34"/>
      <c r="G17" s="34"/>
      <c r="H17" s="34"/>
      <c r="I17" s="36"/>
      <c r="J17" s="35"/>
      <c r="K17" s="34"/>
      <c r="L17" s="34"/>
      <c r="M17" s="38"/>
      <c r="N17" s="34"/>
      <c r="O17" s="29"/>
      <c r="P17" s="29"/>
      <c r="Q17" s="29"/>
      <c r="R17" s="28"/>
      <c r="S17" s="28"/>
      <c r="T17" s="37"/>
      <c r="U17" s="28"/>
      <c r="V17" s="29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1:35">
      <c r="A18" s="32"/>
      <c r="B18" s="32" t="s">
        <v>54</v>
      </c>
      <c r="C18" s="32"/>
      <c r="D18" s="26">
        <f t="shared" si="0"/>
        <v>85870</v>
      </c>
      <c r="E18" s="34">
        <v>2500</v>
      </c>
      <c r="F18" s="34">
        <v>1500</v>
      </c>
      <c r="G18" s="34">
        <v>950</v>
      </c>
      <c r="H18" s="34">
        <v>530</v>
      </c>
      <c r="I18" s="36">
        <v>3900</v>
      </c>
      <c r="J18" s="35">
        <v>4200</v>
      </c>
      <c r="K18" s="34">
        <v>2400</v>
      </c>
      <c r="L18" s="34">
        <v>1500</v>
      </c>
      <c r="M18" s="34">
        <v>700</v>
      </c>
      <c r="N18" s="34">
        <v>500</v>
      </c>
      <c r="O18" s="29">
        <v>2800</v>
      </c>
      <c r="P18" s="29">
        <v>2600</v>
      </c>
      <c r="Q18" s="29">
        <v>2470</v>
      </c>
      <c r="R18" s="28">
        <v>5090</v>
      </c>
      <c r="S18" s="28">
        <v>6000</v>
      </c>
      <c r="T18" s="28">
        <v>2500</v>
      </c>
      <c r="U18" s="28">
        <v>4400</v>
      </c>
      <c r="V18" s="29">
        <v>1000</v>
      </c>
      <c r="W18" s="28">
        <v>3700</v>
      </c>
      <c r="X18" s="28">
        <v>2030</v>
      </c>
      <c r="Y18" s="28">
        <v>5900</v>
      </c>
      <c r="Z18" s="28">
        <v>6000</v>
      </c>
      <c r="AA18" s="28">
        <v>3700</v>
      </c>
      <c r="AB18" s="28">
        <v>2000</v>
      </c>
      <c r="AC18" s="28">
        <v>500</v>
      </c>
      <c r="AD18" s="28">
        <v>3100</v>
      </c>
      <c r="AE18" s="28">
        <v>3900</v>
      </c>
      <c r="AF18" s="28">
        <v>3500</v>
      </c>
      <c r="AG18" s="28">
        <v>5000</v>
      </c>
      <c r="AH18" s="28">
        <v>1000</v>
      </c>
      <c r="AI18" s="28">
        <v>900</v>
      </c>
    </row>
    <row r="19" spans="1:35">
      <c r="A19" s="32"/>
      <c r="B19" s="32" t="s">
        <v>43</v>
      </c>
      <c r="C19" s="32"/>
      <c r="D19" s="26">
        <f t="shared" si="0"/>
        <v>0</v>
      </c>
      <c r="E19" s="34"/>
      <c r="F19" s="34"/>
      <c r="G19" s="34"/>
      <c r="H19" s="34"/>
      <c r="I19" s="36"/>
      <c r="J19" s="35"/>
      <c r="K19" s="34"/>
      <c r="L19" s="34"/>
      <c r="M19" s="34"/>
      <c r="N19" s="34"/>
      <c r="O19" s="29"/>
      <c r="P19" s="29"/>
      <c r="Q19" s="29"/>
      <c r="R19" s="28"/>
      <c r="S19" s="28"/>
      <c r="T19" s="28"/>
      <c r="U19" s="28"/>
      <c r="V19" s="29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</row>
    <row r="20" spans="1:35" ht="40.5">
      <c r="A20" s="32"/>
      <c r="B20" s="33" t="s">
        <v>12</v>
      </c>
      <c r="C20" s="32"/>
      <c r="D20" s="26">
        <f t="shared" si="0"/>
        <v>3316</v>
      </c>
      <c r="E20" s="34">
        <v>200</v>
      </c>
      <c r="F20" s="34">
        <v>100</v>
      </c>
      <c r="G20" s="34">
        <v>47</v>
      </c>
      <c r="H20" s="34">
        <v>34</v>
      </c>
      <c r="I20" s="36">
        <v>190</v>
      </c>
      <c r="J20" s="35">
        <v>100</v>
      </c>
      <c r="K20" s="34">
        <v>160</v>
      </c>
      <c r="L20" s="34">
        <v>100</v>
      </c>
      <c r="M20" s="34">
        <v>35</v>
      </c>
      <c r="N20" s="34">
        <v>30</v>
      </c>
      <c r="O20" s="29">
        <v>160</v>
      </c>
      <c r="P20" s="29">
        <v>45</v>
      </c>
      <c r="Q20" s="29">
        <v>40</v>
      </c>
      <c r="R20" s="28">
        <v>70</v>
      </c>
      <c r="S20" s="28">
        <v>210</v>
      </c>
      <c r="T20" s="28">
        <v>70</v>
      </c>
      <c r="U20" s="28">
        <v>60</v>
      </c>
      <c r="V20" s="29">
        <v>30</v>
      </c>
      <c r="W20" s="28">
        <v>200</v>
      </c>
      <c r="X20" s="28">
        <v>120</v>
      </c>
      <c r="Y20" s="28">
        <v>100</v>
      </c>
      <c r="Z20" s="28">
        <v>200</v>
      </c>
      <c r="AA20" s="28">
        <v>150</v>
      </c>
      <c r="AB20" s="28">
        <v>130</v>
      </c>
      <c r="AC20" s="28">
        <v>45</v>
      </c>
      <c r="AD20" s="28">
        <v>50</v>
      </c>
      <c r="AE20" s="28">
        <v>200</v>
      </c>
      <c r="AF20" s="28">
        <v>100</v>
      </c>
      <c r="AG20" s="28">
        <v>300</v>
      </c>
      <c r="AH20" s="28">
        <v>40</v>
      </c>
      <c r="AI20" s="28">
        <v>50</v>
      </c>
    </row>
    <row r="21" spans="1:35">
      <c r="A21" s="32"/>
      <c r="B21" s="32" t="s">
        <v>39</v>
      </c>
      <c r="C21" s="32"/>
      <c r="D21" s="26">
        <f t="shared" si="0"/>
        <v>1585</v>
      </c>
      <c r="E21" s="34">
        <v>70</v>
      </c>
      <c r="F21" s="34">
        <v>250</v>
      </c>
      <c r="G21" s="34">
        <v>20</v>
      </c>
      <c r="H21" s="34">
        <v>10</v>
      </c>
      <c r="I21" s="36">
        <v>100</v>
      </c>
      <c r="J21" s="35">
        <v>90</v>
      </c>
      <c r="K21" s="34">
        <v>50</v>
      </c>
      <c r="L21" s="34">
        <v>10</v>
      </c>
      <c r="M21" s="34">
        <v>60</v>
      </c>
      <c r="N21" s="34">
        <v>80</v>
      </c>
      <c r="O21" s="29">
        <v>70</v>
      </c>
      <c r="P21" s="29">
        <v>50</v>
      </c>
      <c r="Q21" s="29">
        <v>50</v>
      </c>
      <c r="R21" s="28">
        <v>60</v>
      </c>
      <c r="S21" s="28">
        <v>80</v>
      </c>
      <c r="T21" s="28">
        <v>10</v>
      </c>
      <c r="U21" s="28">
        <v>30</v>
      </c>
      <c r="V21" s="29">
        <v>139</v>
      </c>
      <c r="W21" s="28">
        <v>66</v>
      </c>
      <c r="X21" s="28">
        <v>20</v>
      </c>
      <c r="Y21" s="28">
        <v>10</v>
      </c>
      <c r="Z21" s="28">
        <v>20</v>
      </c>
      <c r="AA21" s="28">
        <v>30</v>
      </c>
      <c r="AB21" s="28">
        <v>20</v>
      </c>
      <c r="AC21" s="28">
        <v>8</v>
      </c>
      <c r="AD21" s="28">
        <v>22</v>
      </c>
      <c r="AE21" s="28">
        <v>80</v>
      </c>
      <c r="AF21" s="28">
        <v>30</v>
      </c>
      <c r="AG21" s="28">
        <v>30</v>
      </c>
      <c r="AH21" s="28">
        <v>20</v>
      </c>
      <c r="AI21" s="28">
        <v>30</v>
      </c>
    </row>
    <row r="22" spans="1:35">
      <c r="A22" s="32"/>
      <c r="B22" s="32" t="s">
        <v>59</v>
      </c>
      <c r="C22" s="32"/>
      <c r="D22" s="26">
        <f t="shared" si="0"/>
        <v>336</v>
      </c>
      <c r="E22" s="34">
        <v>65</v>
      </c>
      <c r="F22" s="34">
        <v>10</v>
      </c>
      <c r="G22" s="34">
        <v>10</v>
      </c>
      <c r="H22" s="34">
        <v>6</v>
      </c>
      <c r="I22" s="36">
        <v>70</v>
      </c>
      <c r="J22" s="35">
        <v>10</v>
      </c>
      <c r="K22" s="34">
        <v>10</v>
      </c>
      <c r="L22" s="34">
        <v>6</v>
      </c>
      <c r="M22" s="34">
        <v>5</v>
      </c>
      <c r="N22" s="34">
        <v>5</v>
      </c>
      <c r="O22" s="29">
        <v>10</v>
      </c>
      <c r="P22" s="29">
        <v>10</v>
      </c>
      <c r="Q22" s="29">
        <v>10</v>
      </c>
      <c r="R22" s="28">
        <v>5</v>
      </c>
      <c r="S22" s="28">
        <v>5</v>
      </c>
      <c r="T22" s="28">
        <v>5</v>
      </c>
      <c r="U22" s="28">
        <v>10</v>
      </c>
      <c r="V22" s="29">
        <v>10</v>
      </c>
      <c r="W22" s="28">
        <v>10</v>
      </c>
      <c r="X22" s="28">
        <v>10</v>
      </c>
      <c r="Y22" s="28">
        <v>5</v>
      </c>
      <c r="Z22" s="28">
        <v>5</v>
      </c>
      <c r="AA22" s="28">
        <v>5</v>
      </c>
      <c r="AB22" s="28">
        <v>5</v>
      </c>
      <c r="AC22" s="28">
        <v>5</v>
      </c>
      <c r="AD22" s="28">
        <v>5</v>
      </c>
      <c r="AE22" s="28">
        <v>10</v>
      </c>
      <c r="AF22" s="28">
        <v>5</v>
      </c>
      <c r="AG22" s="28">
        <v>5</v>
      </c>
      <c r="AH22" s="28">
        <v>4</v>
      </c>
      <c r="AI22" s="28">
        <v>5</v>
      </c>
    </row>
    <row r="23" spans="1:35" ht="27">
      <c r="A23" s="32"/>
      <c r="B23" s="33" t="s">
        <v>7</v>
      </c>
      <c r="C23" s="32"/>
      <c r="D23" s="26">
        <f t="shared" si="0"/>
        <v>0</v>
      </c>
      <c r="E23" s="28"/>
      <c r="F23" s="28"/>
      <c r="G23" s="28"/>
      <c r="H23" s="28"/>
      <c r="I23" s="30"/>
      <c r="J23" s="31"/>
      <c r="K23" s="28"/>
      <c r="L23" s="28"/>
      <c r="M23" s="28"/>
      <c r="N23" s="28"/>
      <c r="O23" s="29"/>
      <c r="P23" s="29"/>
      <c r="Q23" s="29"/>
      <c r="R23" s="28"/>
      <c r="S23" s="30"/>
      <c r="T23" s="28"/>
      <c r="U23" s="28"/>
      <c r="V23" s="29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>
      <c r="A24" s="27" t="s">
        <v>63</v>
      </c>
      <c r="B24" s="27"/>
      <c r="C24" s="27"/>
      <c r="D24" s="26">
        <f t="shared" ref="D24:AI24" si="1">SUM(D6:D23)</f>
        <v>353355</v>
      </c>
      <c r="E24" s="26">
        <f t="shared" si="1"/>
        <v>14813</v>
      </c>
      <c r="F24" s="26">
        <f t="shared" si="1"/>
        <v>8928</v>
      </c>
      <c r="G24" s="26">
        <f t="shared" si="1"/>
        <v>7086</v>
      </c>
      <c r="H24" s="26">
        <f t="shared" si="1"/>
        <v>6470</v>
      </c>
      <c r="I24" s="26">
        <f t="shared" si="1"/>
        <v>18370</v>
      </c>
      <c r="J24" s="26">
        <f t="shared" si="1"/>
        <v>10705</v>
      </c>
      <c r="K24" s="26">
        <f t="shared" si="1"/>
        <v>14420</v>
      </c>
      <c r="L24" s="26">
        <f t="shared" si="1"/>
        <v>13836</v>
      </c>
      <c r="M24" s="26">
        <f t="shared" si="1"/>
        <v>6700</v>
      </c>
      <c r="N24" s="26">
        <f t="shared" si="1"/>
        <v>6815</v>
      </c>
      <c r="O24" s="26">
        <f t="shared" si="1"/>
        <v>9710</v>
      </c>
      <c r="P24" s="26">
        <f t="shared" si="1"/>
        <v>11585</v>
      </c>
      <c r="Q24" s="26">
        <f t="shared" si="1"/>
        <v>11265</v>
      </c>
      <c r="R24" s="26">
        <f t="shared" si="1"/>
        <v>15925</v>
      </c>
      <c r="S24" s="26">
        <f t="shared" si="1"/>
        <v>19445</v>
      </c>
      <c r="T24" s="26">
        <f t="shared" si="1"/>
        <v>9505</v>
      </c>
      <c r="U24" s="26">
        <f t="shared" si="1"/>
        <v>12530</v>
      </c>
      <c r="V24" s="26">
        <f t="shared" si="1"/>
        <v>5658</v>
      </c>
      <c r="W24" s="26">
        <f t="shared" si="1"/>
        <v>14176</v>
      </c>
      <c r="X24" s="26">
        <f t="shared" si="1"/>
        <v>11030</v>
      </c>
      <c r="Y24" s="26">
        <f t="shared" si="1"/>
        <v>15300</v>
      </c>
      <c r="Z24" s="26">
        <f t="shared" si="1"/>
        <v>18825</v>
      </c>
      <c r="AA24" s="26">
        <f t="shared" si="1"/>
        <v>11355</v>
      </c>
      <c r="AB24" s="26">
        <f t="shared" si="1"/>
        <v>8095</v>
      </c>
      <c r="AC24" s="26">
        <f t="shared" si="1"/>
        <v>4898</v>
      </c>
      <c r="AD24" s="26">
        <f t="shared" si="1"/>
        <v>8406</v>
      </c>
      <c r="AE24" s="26">
        <f t="shared" si="1"/>
        <v>16790</v>
      </c>
      <c r="AF24" s="26">
        <f t="shared" si="1"/>
        <v>15515</v>
      </c>
      <c r="AG24" s="26">
        <f t="shared" si="1"/>
        <v>19735</v>
      </c>
      <c r="AH24" s="26">
        <f t="shared" si="1"/>
        <v>5464</v>
      </c>
      <c r="AI24" s="26">
        <f t="shared" si="1"/>
        <v>4985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/>
  </sheetViews>
  <sheetFormatPr defaultRowHeight="16.5"/>
  <cols>
    <col min="1" max="16384" width="9" style="46"/>
  </cols>
  <sheetData>
    <row r="1" spans="1:34" ht="31.5">
      <c r="B1" s="43"/>
      <c r="C1" s="43"/>
      <c r="F1" s="43" t="s">
        <v>34</v>
      </c>
      <c r="H1" s="44">
        <v>6</v>
      </c>
    </row>
    <row r="2" spans="1:34" ht="26.25">
      <c r="A2" s="4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34">
      <c r="A3" s="27" t="s">
        <v>47</v>
      </c>
      <c r="B3" s="27"/>
      <c r="C3" s="27"/>
      <c r="D3" s="27" t="s">
        <v>64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>
      <c r="A4" s="27" t="s">
        <v>49</v>
      </c>
      <c r="B4" s="27"/>
      <c r="C4" s="27"/>
      <c r="D4" s="27"/>
      <c r="E4" s="32" t="s">
        <v>40</v>
      </c>
      <c r="F4" s="32" t="s">
        <v>51</v>
      </c>
      <c r="G4" s="32" t="s">
        <v>44</v>
      </c>
      <c r="H4" s="32" t="s">
        <v>53</v>
      </c>
      <c r="I4" s="32" t="s">
        <v>55</v>
      </c>
      <c r="J4" s="32" t="s">
        <v>46</v>
      </c>
      <c r="K4" s="32" t="s">
        <v>58</v>
      </c>
      <c r="L4" s="32" t="s">
        <v>40</v>
      </c>
      <c r="M4" s="32" t="s">
        <v>51</v>
      </c>
      <c r="N4" s="32" t="s">
        <v>44</v>
      </c>
      <c r="O4" s="32" t="s">
        <v>53</v>
      </c>
      <c r="P4" s="32" t="s">
        <v>55</v>
      </c>
      <c r="Q4" s="32" t="s">
        <v>46</v>
      </c>
      <c r="R4" s="32" t="s">
        <v>58</v>
      </c>
      <c r="S4" s="32" t="s">
        <v>40</v>
      </c>
      <c r="T4" s="32" t="s">
        <v>51</v>
      </c>
      <c r="U4" s="32" t="s">
        <v>44</v>
      </c>
      <c r="V4" s="32" t="s">
        <v>53</v>
      </c>
      <c r="W4" s="32" t="s">
        <v>55</v>
      </c>
      <c r="X4" s="32" t="s">
        <v>46</v>
      </c>
      <c r="Y4" s="32" t="s">
        <v>58</v>
      </c>
      <c r="Z4" s="32" t="s">
        <v>40</v>
      </c>
      <c r="AA4" s="32" t="s">
        <v>51</v>
      </c>
      <c r="AB4" s="32" t="s">
        <v>44</v>
      </c>
      <c r="AC4" s="32" t="s">
        <v>53</v>
      </c>
      <c r="AD4" s="32" t="s">
        <v>55</v>
      </c>
      <c r="AE4" s="32" t="s">
        <v>46</v>
      </c>
      <c r="AF4" s="32" t="s">
        <v>58</v>
      </c>
      <c r="AG4" s="32" t="s">
        <v>40</v>
      </c>
      <c r="AH4" s="32" t="s">
        <v>51</v>
      </c>
    </row>
    <row r="5" spans="1:34">
      <c r="A5" s="32" t="s">
        <v>57</v>
      </c>
      <c r="B5" s="32" t="s">
        <v>50</v>
      </c>
      <c r="C5" s="32"/>
      <c r="D5" s="40"/>
      <c r="E5" s="39" t="s">
        <v>61</v>
      </c>
      <c r="F5" s="39" t="s">
        <v>61</v>
      </c>
      <c r="G5" s="39" t="s">
        <v>61</v>
      </c>
      <c r="H5" s="39" t="s">
        <v>56</v>
      </c>
      <c r="I5" s="39" t="s">
        <v>56</v>
      </c>
      <c r="J5" s="39" t="s">
        <v>77</v>
      </c>
      <c r="K5" s="39" t="s">
        <v>61</v>
      </c>
      <c r="L5" s="39" t="s">
        <v>77</v>
      </c>
      <c r="M5" s="39" t="s">
        <v>61</v>
      </c>
      <c r="N5" s="39" t="s">
        <v>77</v>
      </c>
      <c r="O5" s="39" t="s">
        <v>61</v>
      </c>
      <c r="P5" s="39" t="s">
        <v>61</v>
      </c>
      <c r="Q5" s="39" t="s">
        <v>61</v>
      </c>
      <c r="R5" s="39" t="s">
        <v>61</v>
      </c>
      <c r="S5" s="39" t="s">
        <v>45</v>
      </c>
      <c r="T5" s="39" t="s">
        <v>61</v>
      </c>
      <c r="U5" s="39" t="s">
        <v>56</v>
      </c>
      <c r="V5" s="39" t="s">
        <v>56</v>
      </c>
      <c r="W5" s="39" t="s">
        <v>56</v>
      </c>
      <c r="X5" s="39" t="s">
        <v>56</v>
      </c>
      <c r="Y5" s="39" t="s">
        <v>61</v>
      </c>
      <c r="Z5" s="39" t="s">
        <v>56</v>
      </c>
      <c r="AA5" s="39" t="s">
        <v>77</v>
      </c>
      <c r="AB5" s="39" t="s">
        <v>56</v>
      </c>
      <c r="AC5" s="39" t="s">
        <v>56</v>
      </c>
      <c r="AD5" s="39" t="s">
        <v>56</v>
      </c>
      <c r="AE5" s="39" t="s">
        <v>77</v>
      </c>
      <c r="AF5" s="39" t="s">
        <v>45</v>
      </c>
      <c r="AG5" s="39" t="s">
        <v>76</v>
      </c>
      <c r="AH5" s="39" t="s">
        <v>45</v>
      </c>
    </row>
    <row r="6" spans="1:34" ht="33">
      <c r="A6" s="32"/>
      <c r="B6" s="32" t="s">
        <v>10</v>
      </c>
      <c r="C6" s="32"/>
      <c r="D6" s="26">
        <f>SUM(E6:AH6)</f>
        <v>0</v>
      </c>
      <c r="E6" s="34"/>
      <c r="F6" s="34"/>
      <c r="G6" s="34"/>
      <c r="H6" s="34"/>
      <c r="I6" s="36"/>
      <c r="J6" s="35"/>
      <c r="K6" s="34"/>
      <c r="L6" s="34"/>
      <c r="M6" s="34"/>
      <c r="N6" s="34"/>
      <c r="O6" s="29"/>
      <c r="P6" s="29"/>
      <c r="Q6" s="29"/>
      <c r="R6" s="28"/>
      <c r="S6" s="28"/>
      <c r="T6" s="28"/>
      <c r="U6" s="28"/>
      <c r="V6" s="29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</row>
    <row r="7" spans="1:34" ht="33">
      <c r="A7" s="32"/>
      <c r="B7" s="32" t="s">
        <v>9</v>
      </c>
      <c r="C7" s="32"/>
      <c r="D7" s="26">
        <f>SUM(E7:AH7)</f>
        <v>88396</v>
      </c>
      <c r="E7" s="34">
        <v>5890</v>
      </c>
      <c r="F7" s="34">
        <v>3120</v>
      </c>
      <c r="G7" s="34">
        <v>2985</v>
      </c>
      <c r="H7" s="34">
        <v>3211</v>
      </c>
      <c r="I7" s="36">
        <v>3107</v>
      </c>
      <c r="J7" s="35">
        <v>1118</v>
      </c>
      <c r="K7" s="34">
        <v>2311</v>
      </c>
      <c r="L7" s="34">
        <v>2412</v>
      </c>
      <c r="M7" s="34">
        <v>1321</v>
      </c>
      <c r="N7" s="34">
        <v>3265</v>
      </c>
      <c r="O7" s="29">
        <v>5370</v>
      </c>
      <c r="P7" s="29">
        <v>2477</v>
      </c>
      <c r="Q7" s="29">
        <v>1165</v>
      </c>
      <c r="R7" s="28">
        <v>1922</v>
      </c>
      <c r="S7" s="28">
        <v>1221</v>
      </c>
      <c r="T7" s="28">
        <v>1450</v>
      </c>
      <c r="U7" s="28">
        <v>5245</v>
      </c>
      <c r="V7" s="29">
        <v>5295</v>
      </c>
      <c r="W7" s="28">
        <v>6070</v>
      </c>
      <c r="X7" s="28">
        <v>1450</v>
      </c>
      <c r="Y7" s="28">
        <v>2810</v>
      </c>
      <c r="Z7" s="28">
        <v>1415</v>
      </c>
      <c r="AA7" s="28">
        <v>1370</v>
      </c>
      <c r="AB7" s="28">
        <v>4650</v>
      </c>
      <c r="AC7" s="28">
        <v>5340</v>
      </c>
      <c r="AD7" s="28">
        <v>4083</v>
      </c>
      <c r="AE7" s="28">
        <v>2893</v>
      </c>
      <c r="AF7" s="28">
        <v>1732</v>
      </c>
      <c r="AG7" s="28">
        <v>1811</v>
      </c>
      <c r="AH7" s="28">
        <v>1887</v>
      </c>
    </row>
    <row r="8" spans="1:34" ht="33">
      <c r="A8" s="32"/>
      <c r="B8" s="32" t="s">
        <v>5</v>
      </c>
      <c r="C8" s="32"/>
      <c r="D8" s="26">
        <f>SUM(E8:AH8)</f>
        <v>107250</v>
      </c>
      <c r="E8" s="34">
        <v>7823</v>
      </c>
      <c r="F8" s="34">
        <v>2655</v>
      </c>
      <c r="G8" s="34">
        <v>4090</v>
      </c>
      <c r="H8" s="34">
        <v>4567</v>
      </c>
      <c r="I8" s="36">
        <v>4510</v>
      </c>
      <c r="J8" s="35">
        <v>1305</v>
      </c>
      <c r="K8" s="34">
        <v>2412</v>
      </c>
      <c r="L8" s="34">
        <v>2180</v>
      </c>
      <c r="M8" s="34">
        <v>1180</v>
      </c>
      <c r="N8" s="34">
        <v>4553</v>
      </c>
      <c r="O8" s="29">
        <v>8542</v>
      </c>
      <c r="P8" s="29">
        <v>6460</v>
      </c>
      <c r="Q8" s="29">
        <v>4460</v>
      </c>
      <c r="R8" s="28">
        <v>1758</v>
      </c>
      <c r="S8" s="28">
        <v>1442</v>
      </c>
      <c r="T8" s="28">
        <v>2660</v>
      </c>
      <c r="U8" s="28">
        <v>4110</v>
      </c>
      <c r="V8" s="29">
        <v>4108</v>
      </c>
      <c r="W8" s="28">
        <v>5442</v>
      </c>
      <c r="X8" s="28">
        <v>2660</v>
      </c>
      <c r="Y8" s="28">
        <v>2710</v>
      </c>
      <c r="Z8" s="28">
        <v>1708</v>
      </c>
      <c r="AA8" s="28">
        <v>2442</v>
      </c>
      <c r="AB8" s="28">
        <v>5145</v>
      </c>
      <c r="AC8" s="28">
        <v>4760</v>
      </c>
      <c r="AD8" s="28">
        <v>5308</v>
      </c>
      <c r="AE8" s="28">
        <v>3442</v>
      </c>
      <c r="AF8" s="28">
        <v>1660</v>
      </c>
      <c r="AG8" s="28">
        <v>1160</v>
      </c>
      <c r="AH8" s="28">
        <v>1998</v>
      </c>
    </row>
    <row r="9" spans="1:34">
      <c r="A9" s="32"/>
      <c r="B9" s="32" t="s">
        <v>28</v>
      </c>
      <c r="C9" s="32"/>
      <c r="D9" s="26">
        <f>SUM(E9:AH9)</f>
        <v>61126</v>
      </c>
      <c r="E9" s="34">
        <v>5140</v>
      </c>
      <c r="F9" s="34">
        <v>1850</v>
      </c>
      <c r="G9" s="34">
        <v>2625</v>
      </c>
      <c r="H9" s="34">
        <v>2033</v>
      </c>
      <c r="I9" s="36">
        <v>2310</v>
      </c>
      <c r="J9" s="35">
        <v>1811</v>
      </c>
      <c r="K9" s="34">
        <v>1120</v>
      </c>
      <c r="L9" s="34">
        <v>1560</v>
      </c>
      <c r="M9" s="34">
        <v>1100</v>
      </c>
      <c r="N9" s="34">
        <v>2957</v>
      </c>
      <c r="O9" s="29">
        <v>3300</v>
      </c>
      <c r="P9" s="29">
        <v>1970</v>
      </c>
      <c r="Q9" s="29">
        <v>970</v>
      </c>
      <c r="R9" s="28">
        <v>1236</v>
      </c>
      <c r="S9" s="28">
        <v>1430</v>
      </c>
      <c r="T9" s="28">
        <v>1270</v>
      </c>
      <c r="U9" s="28">
        <v>2690</v>
      </c>
      <c r="V9" s="29">
        <v>3202</v>
      </c>
      <c r="W9" s="28">
        <v>4802</v>
      </c>
      <c r="X9" s="28">
        <v>1850</v>
      </c>
      <c r="Y9" s="28">
        <v>1585</v>
      </c>
      <c r="Z9" s="28">
        <v>910</v>
      </c>
      <c r="AA9" s="28">
        <v>310</v>
      </c>
      <c r="AB9" s="28">
        <v>2790</v>
      </c>
      <c r="AC9" s="28">
        <v>3585</v>
      </c>
      <c r="AD9" s="28">
        <v>2230</v>
      </c>
      <c r="AE9" s="28">
        <v>1610</v>
      </c>
      <c r="AF9" s="28">
        <v>720</v>
      </c>
      <c r="AG9" s="28">
        <v>850</v>
      </c>
      <c r="AH9" s="28">
        <v>1310</v>
      </c>
    </row>
    <row r="10" spans="1:34">
      <c r="A10" s="32"/>
      <c r="B10" s="32" t="s">
        <v>42</v>
      </c>
      <c r="C10" s="32"/>
      <c r="D10" s="26">
        <f>SUM(E10:AH10)</f>
        <v>0</v>
      </c>
      <c r="E10" s="34"/>
      <c r="F10" s="34"/>
      <c r="G10" s="34"/>
      <c r="H10" s="34"/>
      <c r="I10" s="36"/>
      <c r="J10" s="35"/>
      <c r="K10" s="34"/>
      <c r="L10" s="34"/>
      <c r="M10" s="34"/>
      <c r="N10" s="34"/>
      <c r="O10" s="29"/>
      <c r="P10" s="29"/>
      <c r="Q10" s="29"/>
      <c r="R10" s="28"/>
      <c r="S10" s="28"/>
      <c r="T10" s="28"/>
      <c r="U10" s="28"/>
      <c r="V10" s="29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spans="1:34">
      <c r="A11" s="32"/>
      <c r="B11" s="32" t="s">
        <v>22</v>
      </c>
      <c r="C11" s="32"/>
      <c r="D11" s="26">
        <f>SUM(E11:AH11)</f>
        <v>0</v>
      </c>
      <c r="E11" s="34"/>
      <c r="F11" s="34"/>
      <c r="G11" s="34"/>
      <c r="H11" s="34"/>
      <c r="I11" s="36"/>
      <c r="J11" s="35"/>
      <c r="K11" s="34"/>
      <c r="L11" s="34"/>
      <c r="M11" s="34"/>
      <c r="N11" s="34"/>
      <c r="O11" s="29"/>
      <c r="P11" s="29"/>
      <c r="Q11" s="29"/>
      <c r="R11" s="28"/>
      <c r="S11" s="28"/>
      <c r="T11" s="28"/>
      <c r="U11" s="28"/>
      <c r="V11" s="29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 spans="1:34">
      <c r="A12" s="32"/>
      <c r="B12" s="32" t="s">
        <v>15</v>
      </c>
      <c r="C12" s="32"/>
      <c r="D12" s="26">
        <f>SUM(E12:AH12)</f>
        <v>0</v>
      </c>
      <c r="E12" s="34"/>
      <c r="F12" s="34"/>
      <c r="G12" s="34"/>
      <c r="H12" s="34"/>
      <c r="I12" s="36"/>
      <c r="J12" s="35"/>
      <c r="K12" s="34"/>
      <c r="L12" s="34"/>
      <c r="M12" s="34"/>
      <c r="N12" s="34"/>
      <c r="O12" s="29"/>
      <c r="P12" s="29"/>
      <c r="Q12" s="29"/>
      <c r="R12" s="28"/>
      <c r="S12" s="28"/>
      <c r="T12" s="28"/>
      <c r="U12" s="28"/>
      <c r="V12" s="29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ht="33">
      <c r="A13" s="32"/>
      <c r="B13" s="32" t="s">
        <v>18</v>
      </c>
      <c r="C13" s="32"/>
      <c r="D13" s="26">
        <f>SUM(E13:AH13)</f>
        <v>0</v>
      </c>
      <c r="E13" s="34"/>
      <c r="F13" s="34"/>
      <c r="G13" s="34"/>
      <c r="H13" s="34"/>
      <c r="I13" s="36"/>
      <c r="J13" s="35"/>
      <c r="K13" s="34"/>
      <c r="L13" s="34"/>
      <c r="M13" s="34"/>
      <c r="N13" s="34"/>
      <c r="O13" s="29"/>
      <c r="P13" s="29"/>
      <c r="Q13" s="29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ht="33">
      <c r="A14" s="32"/>
      <c r="B14" s="32" t="s">
        <v>6</v>
      </c>
      <c r="C14" s="32"/>
      <c r="D14" s="26">
        <f>SUM(E14:AH14)</f>
        <v>0</v>
      </c>
      <c r="E14" s="34"/>
      <c r="F14" s="34"/>
      <c r="G14" s="34"/>
      <c r="H14" s="34"/>
      <c r="I14" s="36"/>
      <c r="J14" s="35"/>
      <c r="K14" s="34"/>
      <c r="L14" s="34"/>
      <c r="M14" s="34"/>
      <c r="N14" s="34"/>
      <c r="O14" s="29"/>
      <c r="P14" s="29"/>
      <c r="Q14" s="29"/>
      <c r="R14" s="28"/>
      <c r="S14" s="28"/>
      <c r="T14" s="30"/>
      <c r="U14" s="28"/>
      <c r="V14" s="29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34">
      <c r="A15" s="32"/>
      <c r="B15" s="32" t="s">
        <v>52</v>
      </c>
      <c r="C15" s="32"/>
      <c r="D15" s="26">
        <f>SUM(E15:AH15)</f>
        <v>0</v>
      </c>
      <c r="E15" s="34"/>
      <c r="F15" s="34"/>
      <c r="G15" s="34"/>
      <c r="H15" s="34"/>
      <c r="I15" s="36"/>
      <c r="J15" s="35"/>
      <c r="K15" s="34"/>
      <c r="L15" s="34"/>
      <c r="M15" s="34"/>
      <c r="N15" s="34"/>
      <c r="O15" s="29"/>
      <c r="P15" s="29"/>
      <c r="Q15" s="29"/>
      <c r="R15" s="28"/>
      <c r="S15" s="28"/>
      <c r="T15" s="28"/>
      <c r="U15" s="28"/>
      <c r="V15" s="29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4">
      <c r="A16" s="32"/>
      <c r="B16" s="32" t="s">
        <v>62</v>
      </c>
      <c r="C16" s="32"/>
      <c r="D16" s="26">
        <f>SUM(E16:AH16)</f>
        <v>0</v>
      </c>
      <c r="E16" s="34"/>
      <c r="F16" s="34"/>
      <c r="G16" s="34"/>
      <c r="H16" s="34"/>
      <c r="I16" s="36"/>
      <c r="J16" s="35"/>
      <c r="K16" s="34"/>
      <c r="L16" s="34"/>
      <c r="M16" s="34"/>
      <c r="N16" s="34"/>
      <c r="O16" s="29"/>
      <c r="P16" s="29"/>
      <c r="Q16" s="29"/>
      <c r="R16" s="28"/>
      <c r="S16" s="28"/>
      <c r="T16" s="28"/>
      <c r="U16" s="28"/>
      <c r="V16" s="29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>
      <c r="A17" s="32"/>
      <c r="B17" s="32" t="s">
        <v>29</v>
      </c>
      <c r="C17" s="32"/>
      <c r="D17" s="26">
        <f>SUM(E17:AH17)</f>
        <v>0</v>
      </c>
      <c r="E17" s="34"/>
      <c r="F17" s="34"/>
      <c r="G17" s="34"/>
      <c r="H17" s="34"/>
      <c r="I17" s="36"/>
      <c r="J17" s="35"/>
      <c r="K17" s="34"/>
      <c r="L17" s="34"/>
      <c r="M17" s="38"/>
      <c r="N17" s="34"/>
      <c r="O17" s="29"/>
      <c r="P17" s="29"/>
      <c r="Q17" s="29"/>
      <c r="R17" s="28"/>
      <c r="S17" s="28"/>
      <c r="T17" s="37"/>
      <c r="U17" s="28"/>
      <c r="V17" s="29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 spans="1:34">
      <c r="A18" s="32"/>
      <c r="B18" s="32" t="s">
        <v>54</v>
      </c>
      <c r="C18" s="32"/>
      <c r="D18" s="26">
        <f>SUM(E18:AH18)</f>
        <v>78077</v>
      </c>
      <c r="E18" s="34">
        <v>5340</v>
      </c>
      <c r="F18" s="34">
        <v>2465</v>
      </c>
      <c r="G18" s="34">
        <v>2920</v>
      </c>
      <c r="H18" s="34">
        <v>2530</v>
      </c>
      <c r="I18" s="36">
        <v>3310</v>
      </c>
      <c r="J18" s="35">
        <v>1910</v>
      </c>
      <c r="K18" s="34">
        <v>2270</v>
      </c>
      <c r="L18" s="34">
        <v>1830</v>
      </c>
      <c r="M18" s="34">
        <v>1180</v>
      </c>
      <c r="N18" s="34">
        <v>4003</v>
      </c>
      <c r="O18" s="29">
        <v>6844</v>
      </c>
      <c r="P18" s="29">
        <v>4600</v>
      </c>
      <c r="Q18" s="29">
        <v>3370</v>
      </c>
      <c r="R18" s="28">
        <v>2193</v>
      </c>
      <c r="S18" s="28">
        <v>1244</v>
      </c>
      <c r="T18" s="28">
        <v>3380</v>
      </c>
      <c r="U18" s="28">
        <v>1470</v>
      </c>
      <c r="V18" s="29">
        <v>2893</v>
      </c>
      <c r="W18" s="28">
        <v>3244</v>
      </c>
      <c r="X18" s="28">
        <v>1130</v>
      </c>
      <c r="Y18" s="28">
        <v>1750</v>
      </c>
      <c r="Z18" s="28">
        <v>1345</v>
      </c>
      <c r="AA18" s="28">
        <v>1764</v>
      </c>
      <c r="AB18" s="28">
        <v>1630</v>
      </c>
      <c r="AC18" s="28">
        <v>3390</v>
      </c>
      <c r="AD18" s="28">
        <v>4328</v>
      </c>
      <c r="AE18" s="28">
        <v>1864</v>
      </c>
      <c r="AF18" s="28">
        <v>1100</v>
      </c>
      <c r="AG18" s="28">
        <v>1410</v>
      </c>
      <c r="AH18" s="28">
        <v>1370</v>
      </c>
    </row>
    <row r="19" spans="1:34">
      <c r="A19" s="32"/>
      <c r="B19" s="32" t="s">
        <v>43</v>
      </c>
      <c r="C19" s="32"/>
      <c r="D19" s="26">
        <f>SUM(E19:AH19)</f>
        <v>0</v>
      </c>
      <c r="E19" s="34"/>
      <c r="F19" s="34"/>
      <c r="G19" s="34"/>
      <c r="H19" s="34"/>
      <c r="I19" s="36"/>
      <c r="J19" s="35"/>
      <c r="K19" s="34"/>
      <c r="L19" s="34"/>
      <c r="M19" s="34"/>
      <c r="N19" s="34"/>
      <c r="O19" s="29"/>
      <c r="P19" s="29"/>
      <c r="Q19" s="29"/>
      <c r="R19" s="28"/>
      <c r="S19" s="28"/>
      <c r="T19" s="28"/>
      <c r="U19" s="28"/>
      <c r="V19" s="29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 spans="1:34" ht="40.5">
      <c r="A20" s="32"/>
      <c r="B20" s="33" t="s">
        <v>12</v>
      </c>
      <c r="C20" s="32"/>
      <c r="D20" s="26">
        <f>SUM(E20:AH20)</f>
        <v>5856</v>
      </c>
      <c r="E20" s="34">
        <v>567</v>
      </c>
      <c r="F20" s="34">
        <v>341</v>
      </c>
      <c r="G20" s="34">
        <v>705</v>
      </c>
      <c r="H20" s="34">
        <v>810</v>
      </c>
      <c r="I20" s="36">
        <v>450</v>
      </c>
      <c r="J20" s="35">
        <v>108</v>
      </c>
      <c r="K20" s="34">
        <v>99</v>
      </c>
      <c r="L20" s="34">
        <v>60</v>
      </c>
      <c r="M20" s="34">
        <v>40</v>
      </c>
      <c r="N20" s="34">
        <v>210</v>
      </c>
      <c r="O20" s="29">
        <v>190</v>
      </c>
      <c r="P20" s="29">
        <v>145</v>
      </c>
      <c r="Q20" s="29">
        <v>111</v>
      </c>
      <c r="R20" s="28">
        <v>166</v>
      </c>
      <c r="S20" s="28">
        <v>78</v>
      </c>
      <c r="T20" s="28">
        <v>145</v>
      </c>
      <c r="U20" s="28">
        <v>147</v>
      </c>
      <c r="V20" s="29">
        <v>186</v>
      </c>
      <c r="W20" s="28">
        <v>162</v>
      </c>
      <c r="X20" s="28">
        <v>78</v>
      </c>
      <c r="Y20" s="28">
        <v>67</v>
      </c>
      <c r="Z20" s="28">
        <v>65</v>
      </c>
      <c r="AA20" s="28">
        <v>46</v>
      </c>
      <c r="AB20" s="28">
        <v>171</v>
      </c>
      <c r="AC20" s="28">
        <v>245</v>
      </c>
      <c r="AD20" s="28">
        <v>320</v>
      </c>
      <c r="AE20" s="28">
        <v>46</v>
      </c>
      <c r="AF20" s="28">
        <v>31</v>
      </c>
      <c r="AG20" s="28">
        <v>46</v>
      </c>
      <c r="AH20" s="28">
        <v>21</v>
      </c>
    </row>
    <row r="21" spans="1:34">
      <c r="A21" s="32"/>
      <c r="B21" s="32" t="s">
        <v>39</v>
      </c>
      <c r="C21" s="32"/>
      <c r="D21" s="26">
        <f>SUM(E21:AH21)</f>
        <v>2117</v>
      </c>
      <c r="E21" s="34">
        <v>190</v>
      </c>
      <c r="F21" s="34">
        <v>78</v>
      </c>
      <c r="G21" s="34">
        <v>130</v>
      </c>
      <c r="H21" s="34">
        <v>59</v>
      </c>
      <c r="I21" s="36">
        <v>293</v>
      </c>
      <c r="J21" s="35">
        <v>73</v>
      </c>
      <c r="K21" s="34">
        <v>46</v>
      </c>
      <c r="L21" s="34">
        <v>49</v>
      </c>
      <c r="M21" s="34">
        <v>60</v>
      </c>
      <c r="N21" s="34">
        <v>35</v>
      </c>
      <c r="O21" s="29">
        <v>210</v>
      </c>
      <c r="P21" s="29">
        <v>210</v>
      </c>
      <c r="Q21" s="29">
        <v>67</v>
      </c>
      <c r="R21" s="28">
        <v>74</v>
      </c>
      <c r="S21" s="28">
        <v>32</v>
      </c>
      <c r="T21" s="28">
        <v>61</v>
      </c>
      <c r="U21" s="28">
        <v>23</v>
      </c>
      <c r="V21" s="29">
        <v>35</v>
      </c>
      <c r="W21" s="28">
        <v>71</v>
      </c>
      <c r="X21" s="28">
        <v>35</v>
      </c>
      <c r="Y21" s="28">
        <v>81</v>
      </c>
      <c r="Z21" s="28">
        <v>55</v>
      </c>
      <c r="AA21" s="28">
        <v>10</v>
      </c>
      <c r="AB21" s="28">
        <v>25</v>
      </c>
      <c r="AC21" s="28">
        <v>18</v>
      </c>
      <c r="AD21" s="28">
        <v>22</v>
      </c>
      <c r="AE21" s="28">
        <v>34</v>
      </c>
      <c r="AF21" s="28">
        <v>10</v>
      </c>
      <c r="AG21" s="28">
        <v>10</v>
      </c>
      <c r="AH21" s="28">
        <v>21</v>
      </c>
    </row>
    <row r="22" spans="1:34">
      <c r="A22" s="32"/>
      <c r="B22" s="32" t="s">
        <v>59</v>
      </c>
      <c r="C22" s="32"/>
      <c r="D22" s="26">
        <f>SUM(E22:AH22)</f>
        <v>512</v>
      </c>
      <c r="E22" s="34">
        <v>30</v>
      </c>
      <c r="F22" s="34">
        <v>10</v>
      </c>
      <c r="G22" s="34">
        <v>15</v>
      </c>
      <c r="H22" s="34">
        <v>40</v>
      </c>
      <c r="I22" s="36">
        <v>80</v>
      </c>
      <c r="J22" s="35">
        <v>15</v>
      </c>
      <c r="K22" s="34">
        <v>8</v>
      </c>
      <c r="L22" s="34">
        <v>6</v>
      </c>
      <c r="M22" s="34">
        <v>5</v>
      </c>
      <c r="N22" s="34">
        <v>10</v>
      </c>
      <c r="O22" s="29">
        <v>21</v>
      </c>
      <c r="P22" s="29">
        <v>40</v>
      </c>
      <c r="Q22" s="29">
        <v>44</v>
      </c>
      <c r="R22" s="28">
        <v>30</v>
      </c>
      <c r="S22" s="28">
        <v>5</v>
      </c>
      <c r="T22" s="28">
        <v>10</v>
      </c>
      <c r="U22" s="28">
        <v>20</v>
      </c>
      <c r="V22" s="29">
        <v>11</v>
      </c>
      <c r="W22" s="28">
        <v>31</v>
      </c>
      <c r="X22" s="28">
        <v>5</v>
      </c>
      <c r="Y22" s="28">
        <v>10</v>
      </c>
      <c r="Z22" s="28">
        <v>5</v>
      </c>
      <c r="AA22" s="28">
        <v>5</v>
      </c>
      <c r="AB22" s="28">
        <v>10</v>
      </c>
      <c r="AC22" s="28">
        <v>15</v>
      </c>
      <c r="AD22" s="28">
        <v>10</v>
      </c>
      <c r="AE22" s="28">
        <v>5</v>
      </c>
      <c r="AF22" s="28">
        <v>5</v>
      </c>
      <c r="AG22" s="28">
        <v>5</v>
      </c>
      <c r="AH22" s="28">
        <v>6</v>
      </c>
    </row>
    <row r="23" spans="1:34" ht="27">
      <c r="A23" s="32"/>
      <c r="B23" s="33" t="s">
        <v>7</v>
      </c>
      <c r="C23" s="32"/>
      <c r="D23" s="26">
        <f>SUM(E23:AH23)</f>
        <v>0</v>
      </c>
      <c r="E23" s="28"/>
      <c r="F23" s="28"/>
      <c r="G23" s="28"/>
      <c r="H23" s="28"/>
      <c r="I23" s="30"/>
      <c r="J23" s="31"/>
      <c r="K23" s="28"/>
      <c r="L23" s="28"/>
      <c r="M23" s="28"/>
      <c r="N23" s="28"/>
      <c r="O23" s="29"/>
      <c r="P23" s="29"/>
      <c r="Q23" s="29"/>
      <c r="R23" s="28"/>
      <c r="S23" s="30"/>
      <c r="T23" s="28"/>
      <c r="U23" s="28"/>
      <c r="V23" s="29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>
      <c r="A24" s="27" t="s">
        <v>63</v>
      </c>
      <c r="B24" s="27"/>
      <c r="C24" s="27"/>
      <c r="D24" s="26">
        <f>SUM(D6:D23)</f>
        <v>343334</v>
      </c>
      <c r="E24" s="26">
        <f>SUM(E6:E23)</f>
        <v>24980</v>
      </c>
      <c r="F24" s="26">
        <f>SUM(F6:F23)</f>
        <v>10519</v>
      </c>
      <c r="G24" s="26">
        <f>SUM(G6:G23)</f>
        <v>13470</v>
      </c>
      <c r="H24" s="26">
        <f>SUM(H6:H23)</f>
        <v>13250</v>
      </c>
      <c r="I24" s="26">
        <f>SUM(I6:I23)</f>
        <v>14060</v>
      </c>
      <c r="J24" s="26">
        <f>SUM(J6:J23)</f>
        <v>6340</v>
      </c>
      <c r="K24" s="26">
        <f>SUM(K6:K23)</f>
        <v>8266</v>
      </c>
      <c r="L24" s="26">
        <f>SUM(L6:L23)</f>
        <v>8097</v>
      </c>
      <c r="M24" s="26">
        <f>SUM(M6:M23)</f>
        <v>4886</v>
      </c>
      <c r="N24" s="26">
        <f>SUM(N6:N23)</f>
        <v>15033</v>
      </c>
      <c r="O24" s="26">
        <f>SUM(O6:O23)</f>
        <v>24477</v>
      </c>
      <c r="P24" s="26">
        <f>SUM(P6:P23)</f>
        <v>15902</v>
      </c>
      <c r="Q24" s="26">
        <f>SUM(Q6:Q23)</f>
        <v>10187</v>
      </c>
      <c r="R24" s="26">
        <f>SUM(R6:R23)</f>
        <v>7379</v>
      </c>
      <c r="S24" s="26">
        <f>SUM(S6:S23)</f>
        <v>5452</v>
      </c>
      <c r="T24" s="26">
        <f>SUM(T6:T23)</f>
        <v>8976</v>
      </c>
      <c r="U24" s="26">
        <f>SUM(U6:U23)</f>
        <v>13705</v>
      </c>
      <c r="V24" s="26">
        <f>SUM(V6:V23)</f>
        <v>15730</v>
      </c>
      <c r="W24" s="26">
        <f>SUM(W6:W23)</f>
        <v>19822</v>
      </c>
      <c r="X24" s="26">
        <f>SUM(X6:X23)</f>
        <v>7208</v>
      </c>
      <c r="Y24" s="26">
        <f>SUM(Y6:Y23)</f>
        <v>9013</v>
      </c>
      <c r="Z24" s="26">
        <f>SUM(Z6:Z23)</f>
        <v>5503</v>
      </c>
      <c r="AA24" s="26">
        <f>SUM(AA6:AA23)</f>
        <v>5947</v>
      </c>
      <c r="AB24" s="26">
        <f>SUM(AB6:AB23)</f>
        <v>14421</v>
      </c>
      <c r="AC24" s="26">
        <f>SUM(AC6:AC23)</f>
        <v>17353</v>
      </c>
      <c r="AD24" s="26">
        <f>SUM(AD6:AD23)</f>
        <v>16301</v>
      </c>
      <c r="AE24" s="26">
        <f>SUM(AE6:AE23)</f>
        <v>9894</v>
      </c>
      <c r="AF24" s="26">
        <f>SUM(AF6:AF23)</f>
        <v>5258</v>
      </c>
      <c r="AG24" s="26">
        <f>SUM(AG6:AG23)</f>
        <v>5292</v>
      </c>
      <c r="AH24" s="26">
        <f>SUM(AH6:AH23)</f>
        <v>6613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4" workbookViewId="0"/>
  </sheetViews>
  <sheetFormatPr defaultRowHeight="16.5"/>
  <cols>
    <col min="1" max="16384" width="9" style="25"/>
  </cols>
  <sheetData>
    <row r="1" spans="1:35" ht="31.5">
      <c r="B1" s="43"/>
      <c r="C1" s="43"/>
      <c r="F1" s="43"/>
    </row>
    <row r="2" spans="1:35" ht="26.25">
      <c r="A2" s="4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35">
      <c r="A3" s="27" t="s">
        <v>47</v>
      </c>
      <c r="B3" s="27"/>
      <c r="C3" s="27"/>
      <c r="D3" s="27" t="s">
        <v>64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27">
        <v>31</v>
      </c>
    </row>
    <row r="4" spans="1:35">
      <c r="A4" s="27" t="s">
        <v>49</v>
      </c>
      <c r="B4" s="27"/>
      <c r="C4" s="27"/>
      <c r="D4" s="27"/>
      <c r="E4" s="32" t="s">
        <v>44</v>
      </c>
      <c r="F4" s="32" t="s">
        <v>68</v>
      </c>
      <c r="G4" s="32" t="s">
        <v>55</v>
      </c>
      <c r="H4" s="32" t="s">
        <v>46</v>
      </c>
      <c r="I4" s="32" t="s">
        <v>58</v>
      </c>
      <c r="J4" s="32" t="s">
        <v>40</v>
      </c>
      <c r="K4" s="32" t="s">
        <v>51</v>
      </c>
      <c r="L4" s="32" t="s">
        <v>44</v>
      </c>
      <c r="M4" s="32" t="s">
        <v>53</v>
      </c>
      <c r="N4" s="32" t="s">
        <v>55</v>
      </c>
      <c r="O4" s="32" t="s">
        <v>46</v>
      </c>
      <c r="P4" s="32" t="s">
        <v>58</v>
      </c>
      <c r="Q4" s="32" t="s">
        <v>40</v>
      </c>
      <c r="R4" s="32" t="s">
        <v>51</v>
      </c>
      <c r="S4" s="32" t="s">
        <v>44</v>
      </c>
      <c r="T4" s="32" t="s">
        <v>53</v>
      </c>
      <c r="U4" s="32" t="s">
        <v>55</v>
      </c>
      <c r="V4" s="32" t="s">
        <v>46</v>
      </c>
      <c r="W4" s="32" t="s">
        <v>58</v>
      </c>
      <c r="X4" s="32" t="s">
        <v>40</v>
      </c>
      <c r="Y4" s="32" t="s">
        <v>51</v>
      </c>
      <c r="Z4" s="32" t="s">
        <v>44</v>
      </c>
      <c r="AA4" s="32" t="s">
        <v>53</v>
      </c>
      <c r="AB4" s="32" t="s">
        <v>55</v>
      </c>
      <c r="AC4" s="32" t="s">
        <v>46</v>
      </c>
      <c r="AD4" s="32" t="s">
        <v>58</v>
      </c>
      <c r="AE4" s="32" t="s">
        <v>40</v>
      </c>
      <c r="AF4" s="32" t="s">
        <v>51</v>
      </c>
      <c r="AG4" s="32" t="s">
        <v>44</v>
      </c>
      <c r="AH4" s="32" t="s">
        <v>53</v>
      </c>
      <c r="AI4" s="32" t="s">
        <v>55</v>
      </c>
    </row>
    <row r="5" spans="1:35">
      <c r="A5" s="32" t="s">
        <v>57</v>
      </c>
      <c r="B5" s="32" t="s">
        <v>50</v>
      </c>
      <c r="C5" s="32"/>
      <c r="D5" s="40"/>
      <c r="E5" s="39" t="s">
        <v>61</v>
      </c>
      <c r="F5" s="39" t="s">
        <v>61</v>
      </c>
      <c r="G5" s="39" t="s">
        <v>61</v>
      </c>
      <c r="H5" s="39" t="s">
        <v>67</v>
      </c>
      <c r="I5" s="39" t="s">
        <v>56</v>
      </c>
      <c r="J5" s="39" t="s">
        <v>56</v>
      </c>
      <c r="K5" s="39" t="s">
        <v>56</v>
      </c>
      <c r="L5" s="39" t="s">
        <v>66</v>
      </c>
      <c r="M5" s="39" t="s">
        <v>56</v>
      </c>
      <c r="N5" s="39" t="s">
        <v>61</v>
      </c>
      <c r="O5" s="39" t="s">
        <v>65</v>
      </c>
      <c r="P5" s="39" t="s">
        <v>65</v>
      </c>
      <c r="Q5" s="39" t="s">
        <v>45</v>
      </c>
      <c r="R5" s="39" t="s">
        <v>65</v>
      </c>
      <c r="S5" s="39" t="s">
        <v>61</v>
      </c>
      <c r="T5" s="39" t="s">
        <v>56</v>
      </c>
      <c r="U5" s="39" t="s">
        <v>56</v>
      </c>
      <c r="V5" s="39" t="s">
        <v>61</v>
      </c>
      <c r="W5" s="39" t="s">
        <v>61</v>
      </c>
      <c r="X5" s="39" t="s">
        <v>65</v>
      </c>
      <c r="Y5" s="39" t="s">
        <v>56</v>
      </c>
      <c r="Z5" s="39" t="s">
        <v>65</v>
      </c>
      <c r="AA5" s="39" t="s">
        <v>61</v>
      </c>
      <c r="AB5" s="39" t="s">
        <v>56</v>
      </c>
      <c r="AC5" s="39" t="s">
        <v>61</v>
      </c>
      <c r="AD5" s="39" t="s">
        <v>61</v>
      </c>
      <c r="AE5" s="39" t="s">
        <v>61</v>
      </c>
      <c r="AF5" s="39" t="s">
        <v>61</v>
      </c>
      <c r="AG5" s="39" t="s">
        <v>56</v>
      </c>
      <c r="AH5" s="39" t="s">
        <v>61</v>
      </c>
      <c r="AI5" s="39" t="s">
        <v>65</v>
      </c>
    </row>
    <row r="6" spans="1:35" ht="33">
      <c r="A6" s="32"/>
      <c r="B6" s="32" t="s">
        <v>10</v>
      </c>
      <c r="C6" s="32"/>
      <c r="D6" s="26">
        <f>SUM(E6:AH6)</f>
        <v>0</v>
      </c>
      <c r="E6" s="34"/>
      <c r="F6" s="34"/>
      <c r="G6" s="34"/>
      <c r="H6" s="34"/>
      <c r="I6" s="36"/>
      <c r="J6" s="35"/>
      <c r="K6" s="34"/>
      <c r="L6" s="34"/>
      <c r="M6" s="34"/>
      <c r="N6" s="34"/>
      <c r="O6" s="29"/>
      <c r="P6" s="29"/>
      <c r="Q6" s="29"/>
      <c r="R6" s="28"/>
      <c r="S6" s="28"/>
      <c r="T6" s="28"/>
      <c r="U6" s="28"/>
      <c r="V6" s="29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ht="33">
      <c r="A7" s="32"/>
      <c r="B7" s="32" t="s">
        <v>9</v>
      </c>
      <c r="C7" s="32"/>
      <c r="D7" s="26">
        <f>SUM(E7:AH7)</f>
        <v>93599</v>
      </c>
      <c r="E7" s="34">
        <v>2840</v>
      </c>
      <c r="F7" s="34">
        <v>6920</v>
      </c>
      <c r="G7" s="34">
        <v>5190</v>
      </c>
      <c r="H7" s="34">
        <v>3100</v>
      </c>
      <c r="I7" s="36">
        <v>2107</v>
      </c>
      <c r="J7" s="35">
        <v>2200</v>
      </c>
      <c r="K7" s="34">
        <v>3200</v>
      </c>
      <c r="L7" s="34">
        <v>3500</v>
      </c>
      <c r="M7" s="34">
        <v>4321</v>
      </c>
      <c r="N7" s="34">
        <v>4100</v>
      </c>
      <c r="O7" s="29">
        <v>2370</v>
      </c>
      <c r="P7" s="29">
        <v>2200</v>
      </c>
      <c r="Q7" s="29">
        <v>1165</v>
      </c>
      <c r="R7" s="28">
        <v>1500</v>
      </c>
      <c r="S7" s="28">
        <v>3321</v>
      </c>
      <c r="T7" s="28">
        <v>3450</v>
      </c>
      <c r="U7" s="28">
        <v>5200</v>
      </c>
      <c r="V7" s="29">
        <v>3295</v>
      </c>
      <c r="W7" s="28">
        <v>3070</v>
      </c>
      <c r="X7" s="28">
        <v>950</v>
      </c>
      <c r="Y7" s="28">
        <v>3810</v>
      </c>
      <c r="Z7" s="28">
        <v>2500</v>
      </c>
      <c r="AA7" s="28">
        <v>3370</v>
      </c>
      <c r="AB7" s="28">
        <v>5650</v>
      </c>
      <c r="AC7" s="28">
        <v>2340</v>
      </c>
      <c r="AD7" s="28">
        <v>3400</v>
      </c>
      <c r="AE7" s="28">
        <v>3100</v>
      </c>
      <c r="AF7" s="28">
        <v>1732</v>
      </c>
      <c r="AG7" s="28">
        <v>1811</v>
      </c>
      <c r="AH7" s="28">
        <v>1887</v>
      </c>
      <c r="AI7" s="28">
        <v>1887</v>
      </c>
    </row>
    <row r="8" spans="1:35" ht="33">
      <c r="A8" s="32"/>
      <c r="B8" s="32" t="s">
        <v>5</v>
      </c>
      <c r="C8" s="32"/>
      <c r="D8" s="26">
        <f>SUM(E8:AH8)</f>
        <v>90591</v>
      </c>
      <c r="E8" s="34">
        <v>9094</v>
      </c>
      <c r="F8" s="34">
        <v>4400</v>
      </c>
      <c r="G8" s="34">
        <v>4100</v>
      </c>
      <c r="H8" s="34">
        <v>4000</v>
      </c>
      <c r="I8" s="36">
        <v>2210</v>
      </c>
      <c r="J8" s="35">
        <v>1300</v>
      </c>
      <c r="K8" s="34">
        <v>2412</v>
      </c>
      <c r="L8" s="34">
        <v>2580</v>
      </c>
      <c r="M8" s="34">
        <v>3180</v>
      </c>
      <c r="N8" s="34">
        <v>3500</v>
      </c>
      <c r="O8" s="29">
        <v>2542</v>
      </c>
      <c r="P8" s="29">
        <v>2460</v>
      </c>
      <c r="Q8" s="29">
        <v>2460</v>
      </c>
      <c r="R8" s="28">
        <v>1758</v>
      </c>
      <c r="S8" s="28">
        <v>2442</v>
      </c>
      <c r="T8" s="28">
        <v>4660</v>
      </c>
      <c r="U8" s="28">
        <v>4200</v>
      </c>
      <c r="V8" s="29">
        <v>2108</v>
      </c>
      <c r="W8" s="28">
        <v>3442</v>
      </c>
      <c r="X8" s="28">
        <v>1460</v>
      </c>
      <c r="Y8" s="28">
        <v>1710</v>
      </c>
      <c r="Z8" s="28">
        <v>2708</v>
      </c>
      <c r="AA8" s="28">
        <v>4442</v>
      </c>
      <c r="AB8" s="28">
        <v>6145</v>
      </c>
      <c r="AC8" s="28">
        <v>1760</v>
      </c>
      <c r="AD8" s="28">
        <v>2258</v>
      </c>
      <c r="AE8" s="28">
        <v>2442</v>
      </c>
      <c r="AF8" s="28">
        <v>1660</v>
      </c>
      <c r="AG8" s="28">
        <v>1160</v>
      </c>
      <c r="AH8" s="28">
        <v>1998</v>
      </c>
      <c r="AI8" s="28">
        <v>1998</v>
      </c>
    </row>
    <row r="9" spans="1:35">
      <c r="A9" s="32"/>
      <c r="B9" s="32" t="s">
        <v>28</v>
      </c>
      <c r="C9" s="32"/>
      <c r="D9" s="26">
        <f>SUM(E9:AH9)</f>
        <v>70834</v>
      </c>
      <c r="E9" s="34">
        <v>3720</v>
      </c>
      <c r="F9" s="34">
        <v>4300</v>
      </c>
      <c r="G9" s="34">
        <v>5580</v>
      </c>
      <c r="H9" s="34">
        <v>1800</v>
      </c>
      <c r="I9" s="36">
        <v>3110</v>
      </c>
      <c r="J9" s="35">
        <v>1200</v>
      </c>
      <c r="K9" s="34">
        <v>1500</v>
      </c>
      <c r="L9" s="34">
        <v>2100</v>
      </c>
      <c r="M9" s="34">
        <v>2100</v>
      </c>
      <c r="N9" s="34">
        <v>3100</v>
      </c>
      <c r="O9" s="29">
        <v>2300</v>
      </c>
      <c r="P9" s="29">
        <v>970</v>
      </c>
      <c r="Q9" s="29">
        <v>1110</v>
      </c>
      <c r="R9" s="28">
        <v>1200</v>
      </c>
      <c r="S9" s="28">
        <v>3430</v>
      </c>
      <c r="T9" s="28">
        <v>2270</v>
      </c>
      <c r="U9" s="28">
        <v>3690</v>
      </c>
      <c r="V9" s="29">
        <v>2202</v>
      </c>
      <c r="W9" s="28">
        <v>3802</v>
      </c>
      <c r="X9" s="28">
        <v>1250</v>
      </c>
      <c r="Y9" s="28">
        <v>1685</v>
      </c>
      <c r="Z9" s="28">
        <v>1910</v>
      </c>
      <c r="AA9" s="28">
        <v>2310</v>
      </c>
      <c r="AB9" s="28">
        <v>4790</v>
      </c>
      <c r="AC9" s="28">
        <v>1185</v>
      </c>
      <c r="AD9" s="28">
        <v>1350</v>
      </c>
      <c r="AE9" s="28">
        <v>2610</v>
      </c>
      <c r="AF9" s="28">
        <v>2100</v>
      </c>
      <c r="AG9" s="28">
        <v>850</v>
      </c>
      <c r="AH9" s="28">
        <v>1310</v>
      </c>
      <c r="AI9" s="28">
        <v>1310</v>
      </c>
    </row>
    <row r="10" spans="1:35">
      <c r="A10" s="32"/>
      <c r="B10" s="32" t="s">
        <v>42</v>
      </c>
      <c r="C10" s="32"/>
      <c r="D10" s="26">
        <f>SUM(E10:AH10)</f>
        <v>0</v>
      </c>
      <c r="E10" s="34"/>
      <c r="F10" s="34"/>
      <c r="G10" s="34"/>
      <c r="H10" s="34"/>
      <c r="I10" s="36"/>
      <c r="J10" s="35"/>
      <c r="K10" s="34"/>
      <c r="L10" s="34"/>
      <c r="M10" s="34"/>
      <c r="N10" s="34"/>
      <c r="O10" s="29"/>
      <c r="P10" s="29"/>
      <c r="Q10" s="29"/>
      <c r="R10" s="28"/>
      <c r="S10" s="28"/>
      <c r="T10" s="28"/>
      <c r="U10" s="28"/>
      <c r="V10" s="29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>
      <c r="A11" s="32"/>
      <c r="B11" s="32" t="s">
        <v>22</v>
      </c>
      <c r="C11" s="32"/>
      <c r="D11" s="26">
        <f>SUM(E11:AH11)</f>
        <v>0</v>
      </c>
      <c r="E11" s="34"/>
      <c r="F11" s="34"/>
      <c r="G11" s="34"/>
      <c r="H11" s="34"/>
      <c r="I11" s="36"/>
      <c r="J11" s="35"/>
      <c r="K11" s="34"/>
      <c r="L11" s="34"/>
      <c r="M11" s="34"/>
      <c r="N11" s="34"/>
      <c r="O11" s="29"/>
      <c r="P11" s="29"/>
      <c r="Q11" s="29"/>
      <c r="R11" s="28"/>
      <c r="S11" s="28"/>
      <c r="T11" s="28"/>
      <c r="U11" s="28"/>
      <c r="V11" s="29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>
      <c r="A12" s="32"/>
      <c r="B12" s="32" t="s">
        <v>15</v>
      </c>
      <c r="C12" s="32"/>
      <c r="D12" s="26">
        <f>SUM(E12:AH12)</f>
        <v>0</v>
      </c>
      <c r="E12" s="34"/>
      <c r="F12" s="34"/>
      <c r="G12" s="34"/>
      <c r="H12" s="34"/>
      <c r="I12" s="36"/>
      <c r="J12" s="35"/>
      <c r="K12" s="34"/>
      <c r="L12" s="34"/>
      <c r="M12" s="34"/>
      <c r="N12" s="34"/>
      <c r="O12" s="29"/>
      <c r="P12" s="29"/>
      <c r="Q12" s="29"/>
      <c r="R12" s="28"/>
      <c r="S12" s="28"/>
      <c r="T12" s="28"/>
      <c r="U12" s="28"/>
      <c r="V12" s="29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ht="33">
      <c r="A13" s="32"/>
      <c r="B13" s="32" t="s">
        <v>18</v>
      </c>
      <c r="C13" s="32"/>
      <c r="D13" s="26">
        <f>SUM(E13:AH13)</f>
        <v>0</v>
      </c>
      <c r="E13" s="34"/>
      <c r="F13" s="34"/>
      <c r="G13" s="34"/>
      <c r="H13" s="34"/>
      <c r="I13" s="36"/>
      <c r="J13" s="35"/>
      <c r="K13" s="34"/>
      <c r="L13" s="34"/>
      <c r="M13" s="34"/>
      <c r="N13" s="34"/>
      <c r="O13" s="29"/>
      <c r="P13" s="29"/>
      <c r="Q13" s="29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ht="33">
      <c r="A14" s="32"/>
      <c r="B14" s="32" t="s">
        <v>6</v>
      </c>
      <c r="C14" s="32"/>
      <c r="D14" s="26">
        <f>SUM(E14:AH14)</f>
        <v>10350</v>
      </c>
      <c r="E14" s="34">
        <v>50</v>
      </c>
      <c r="F14" s="34">
        <v>1200</v>
      </c>
      <c r="G14" s="34">
        <v>1850</v>
      </c>
      <c r="H14" s="34">
        <v>10</v>
      </c>
      <c r="I14" s="36">
        <v>30</v>
      </c>
      <c r="J14" s="35">
        <v>100</v>
      </c>
      <c r="K14" s="34">
        <v>10</v>
      </c>
      <c r="L14" s="34">
        <v>10</v>
      </c>
      <c r="M14" s="34">
        <v>500</v>
      </c>
      <c r="N14" s="34">
        <v>1000</v>
      </c>
      <c r="O14" s="29">
        <v>300</v>
      </c>
      <c r="P14" s="29">
        <v>670</v>
      </c>
      <c r="Q14" s="29">
        <v>10</v>
      </c>
      <c r="R14" s="28">
        <v>100</v>
      </c>
      <c r="S14" s="28">
        <v>220</v>
      </c>
      <c r="T14" s="30">
        <v>50</v>
      </c>
      <c r="U14" s="28">
        <v>550</v>
      </c>
      <c r="V14" s="29">
        <v>300</v>
      </c>
      <c r="W14" s="28">
        <v>150</v>
      </c>
      <c r="X14" s="28">
        <v>130</v>
      </c>
      <c r="Y14" s="28">
        <v>20</v>
      </c>
      <c r="Z14" s="28">
        <v>50</v>
      </c>
      <c r="AA14" s="28">
        <v>450</v>
      </c>
      <c r="AB14" s="28">
        <v>330</v>
      </c>
      <c r="AC14" s="28">
        <v>290</v>
      </c>
      <c r="AD14" s="28">
        <v>350</v>
      </c>
      <c r="AE14" s="28">
        <v>580</v>
      </c>
      <c r="AF14" s="28">
        <v>350</v>
      </c>
      <c r="AG14" s="28">
        <v>240</v>
      </c>
      <c r="AH14" s="28">
        <v>450</v>
      </c>
      <c r="AI14" s="28">
        <v>50</v>
      </c>
    </row>
    <row r="15" spans="1:35">
      <c r="A15" s="32"/>
      <c r="B15" s="32" t="s">
        <v>52</v>
      </c>
      <c r="C15" s="32"/>
      <c r="D15" s="26">
        <f>SUM(E15:AH15)</f>
        <v>0</v>
      </c>
      <c r="E15" s="34"/>
      <c r="F15" s="34"/>
      <c r="G15" s="34"/>
      <c r="H15" s="34"/>
      <c r="I15" s="36"/>
      <c r="J15" s="35"/>
      <c r="K15" s="34"/>
      <c r="L15" s="34"/>
      <c r="M15" s="34"/>
      <c r="N15" s="34"/>
      <c r="O15" s="29"/>
      <c r="P15" s="29"/>
      <c r="Q15" s="29"/>
      <c r="R15" s="28"/>
      <c r="S15" s="28"/>
      <c r="T15" s="28"/>
      <c r="U15" s="28"/>
      <c r="V15" s="29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>
      <c r="A16" s="32"/>
      <c r="B16" s="32" t="s">
        <v>62</v>
      </c>
      <c r="C16" s="32"/>
      <c r="D16" s="26">
        <f>SUM(E16:AH16)</f>
        <v>0</v>
      </c>
      <c r="E16" s="34"/>
      <c r="F16" s="34"/>
      <c r="G16" s="34"/>
      <c r="H16" s="34"/>
      <c r="I16" s="36"/>
      <c r="J16" s="35"/>
      <c r="K16" s="34"/>
      <c r="L16" s="34"/>
      <c r="M16" s="34"/>
      <c r="N16" s="34"/>
      <c r="O16" s="29"/>
      <c r="P16" s="29"/>
      <c r="Q16" s="29"/>
      <c r="R16" s="28"/>
      <c r="S16" s="28"/>
      <c r="T16" s="28"/>
      <c r="U16" s="28"/>
      <c r="V16" s="29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>
      <c r="A17" s="32"/>
      <c r="B17" s="32" t="s">
        <v>29</v>
      </c>
      <c r="C17" s="32"/>
      <c r="D17" s="26">
        <f>SUM(E17:AH17)</f>
        <v>0</v>
      </c>
      <c r="E17" s="34"/>
      <c r="F17" s="34"/>
      <c r="G17" s="34"/>
      <c r="H17" s="34"/>
      <c r="I17" s="36"/>
      <c r="J17" s="35"/>
      <c r="K17" s="34"/>
      <c r="L17" s="34"/>
      <c r="M17" s="38"/>
      <c r="N17" s="34"/>
      <c r="O17" s="29"/>
      <c r="P17" s="29"/>
      <c r="Q17" s="29"/>
      <c r="R17" s="28"/>
      <c r="S17" s="28"/>
      <c r="T17" s="37"/>
      <c r="U17" s="28"/>
      <c r="V17" s="29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1:35">
      <c r="A18" s="32"/>
      <c r="B18" s="32" t="s">
        <v>54</v>
      </c>
      <c r="C18" s="32"/>
      <c r="D18" s="26">
        <f>SUM(E18:AH18)</f>
        <v>70163</v>
      </c>
      <c r="E18" s="34">
        <v>3140</v>
      </c>
      <c r="F18" s="34">
        <v>6150</v>
      </c>
      <c r="G18" s="34">
        <v>4920</v>
      </c>
      <c r="H18" s="34">
        <v>2530</v>
      </c>
      <c r="I18" s="36">
        <v>1700</v>
      </c>
      <c r="J18" s="35">
        <v>1500</v>
      </c>
      <c r="K18" s="34">
        <v>1600</v>
      </c>
      <c r="L18" s="34">
        <v>2000</v>
      </c>
      <c r="M18" s="34">
        <v>2180</v>
      </c>
      <c r="N18" s="34">
        <v>3800</v>
      </c>
      <c r="O18" s="29">
        <v>2844</v>
      </c>
      <c r="P18" s="29">
        <v>1600</v>
      </c>
      <c r="Q18" s="29">
        <v>2270</v>
      </c>
      <c r="R18" s="28">
        <v>1880</v>
      </c>
      <c r="S18" s="28">
        <v>3100</v>
      </c>
      <c r="T18" s="28">
        <v>4380</v>
      </c>
      <c r="U18" s="28">
        <v>2300</v>
      </c>
      <c r="V18" s="29">
        <v>1393</v>
      </c>
      <c r="W18" s="28">
        <v>1244</v>
      </c>
      <c r="X18" s="28">
        <v>890</v>
      </c>
      <c r="Y18" s="28">
        <v>995</v>
      </c>
      <c r="Z18" s="28">
        <v>2345</v>
      </c>
      <c r="AA18" s="28">
        <v>3764</v>
      </c>
      <c r="AB18" s="28">
        <v>2230</v>
      </c>
      <c r="AC18" s="28">
        <v>1150</v>
      </c>
      <c r="AD18" s="28">
        <v>2328</v>
      </c>
      <c r="AE18" s="28">
        <v>1700</v>
      </c>
      <c r="AF18" s="28">
        <v>1450</v>
      </c>
      <c r="AG18" s="28">
        <v>1410</v>
      </c>
      <c r="AH18" s="28">
        <v>1370</v>
      </c>
      <c r="AI18" s="28">
        <v>1370</v>
      </c>
    </row>
    <row r="19" spans="1:35">
      <c r="A19" s="32"/>
      <c r="B19" s="32" t="s">
        <v>43</v>
      </c>
      <c r="C19" s="32"/>
      <c r="D19" s="26">
        <f>SUM(E19:AH19)</f>
        <v>200</v>
      </c>
      <c r="E19" s="34">
        <v>10</v>
      </c>
      <c r="F19" s="34">
        <v>10</v>
      </c>
      <c r="G19" s="34">
        <v>20</v>
      </c>
      <c r="H19" s="34">
        <v>5</v>
      </c>
      <c r="I19" s="36">
        <v>5</v>
      </c>
      <c r="J19" s="35">
        <v>5</v>
      </c>
      <c r="K19" s="34">
        <v>5</v>
      </c>
      <c r="L19" s="34">
        <v>5</v>
      </c>
      <c r="M19" s="34">
        <v>10</v>
      </c>
      <c r="N19" s="34">
        <v>10</v>
      </c>
      <c r="O19" s="34">
        <v>5</v>
      </c>
      <c r="P19" s="34">
        <v>5</v>
      </c>
      <c r="Q19" s="36">
        <v>5</v>
      </c>
      <c r="R19" s="35">
        <v>5</v>
      </c>
      <c r="S19" s="34">
        <v>5</v>
      </c>
      <c r="T19" s="34">
        <v>10</v>
      </c>
      <c r="U19" s="34">
        <v>10</v>
      </c>
      <c r="V19" s="34">
        <v>5</v>
      </c>
      <c r="W19" s="34">
        <v>5</v>
      </c>
      <c r="X19" s="36">
        <v>5</v>
      </c>
      <c r="Y19" s="35">
        <v>5</v>
      </c>
      <c r="Z19" s="34">
        <v>5</v>
      </c>
      <c r="AA19" s="34">
        <v>5</v>
      </c>
      <c r="AB19" s="34">
        <v>10</v>
      </c>
      <c r="AC19" s="34">
        <v>5</v>
      </c>
      <c r="AD19" s="34">
        <v>5</v>
      </c>
      <c r="AE19" s="34">
        <v>5</v>
      </c>
      <c r="AF19" s="36">
        <v>5</v>
      </c>
      <c r="AG19" s="35">
        <v>5</v>
      </c>
      <c r="AH19" s="34">
        <v>5</v>
      </c>
      <c r="AI19" s="28">
        <v>10</v>
      </c>
    </row>
    <row r="20" spans="1:35" ht="40.5">
      <c r="A20" s="32"/>
      <c r="B20" s="33" t="s">
        <v>12</v>
      </c>
      <c r="C20" s="32"/>
      <c r="D20" s="26">
        <f>SUM(E20:AH20)</f>
        <v>5631</v>
      </c>
      <c r="E20" s="34">
        <v>340</v>
      </c>
      <c r="F20" s="34">
        <v>420</v>
      </c>
      <c r="G20" s="34">
        <v>600</v>
      </c>
      <c r="H20" s="34">
        <v>300</v>
      </c>
      <c r="I20" s="36">
        <v>400</v>
      </c>
      <c r="J20" s="35">
        <v>200</v>
      </c>
      <c r="K20" s="34">
        <v>100</v>
      </c>
      <c r="L20" s="34">
        <v>160</v>
      </c>
      <c r="M20" s="34">
        <v>240</v>
      </c>
      <c r="N20" s="34">
        <v>210</v>
      </c>
      <c r="O20" s="29">
        <v>100</v>
      </c>
      <c r="P20" s="29">
        <v>145</v>
      </c>
      <c r="Q20" s="29">
        <v>120</v>
      </c>
      <c r="R20" s="28">
        <v>100</v>
      </c>
      <c r="S20" s="28">
        <v>200</v>
      </c>
      <c r="T20" s="28">
        <v>205</v>
      </c>
      <c r="U20" s="28">
        <v>210</v>
      </c>
      <c r="V20" s="29">
        <v>120</v>
      </c>
      <c r="W20" s="28">
        <v>90</v>
      </c>
      <c r="X20" s="28">
        <v>60</v>
      </c>
      <c r="Y20" s="28">
        <v>70</v>
      </c>
      <c r="Z20" s="28">
        <v>165</v>
      </c>
      <c r="AA20" s="28">
        <v>146</v>
      </c>
      <c r="AB20" s="28">
        <v>220</v>
      </c>
      <c r="AC20" s="28">
        <v>100</v>
      </c>
      <c r="AD20" s="28">
        <v>140</v>
      </c>
      <c r="AE20" s="28">
        <v>220</v>
      </c>
      <c r="AF20" s="28">
        <v>100</v>
      </c>
      <c r="AG20" s="28">
        <v>100</v>
      </c>
      <c r="AH20" s="28">
        <v>50</v>
      </c>
      <c r="AI20" s="28">
        <v>20</v>
      </c>
    </row>
    <row r="21" spans="1:35">
      <c r="A21" s="32"/>
      <c r="B21" s="32" t="s">
        <v>39</v>
      </c>
      <c r="C21" s="32"/>
      <c r="D21" s="26">
        <f>SUM(E21:AH21)</f>
        <v>2720</v>
      </c>
      <c r="E21" s="34">
        <v>100</v>
      </c>
      <c r="F21" s="34">
        <v>70</v>
      </c>
      <c r="G21" s="34">
        <v>200</v>
      </c>
      <c r="H21" s="34">
        <v>50</v>
      </c>
      <c r="I21" s="36">
        <v>100</v>
      </c>
      <c r="J21" s="35">
        <v>100</v>
      </c>
      <c r="K21" s="34">
        <v>80</v>
      </c>
      <c r="L21" s="34">
        <v>90</v>
      </c>
      <c r="M21" s="34">
        <v>160</v>
      </c>
      <c r="N21" s="34">
        <v>135</v>
      </c>
      <c r="O21" s="29">
        <v>80</v>
      </c>
      <c r="P21" s="29">
        <v>100</v>
      </c>
      <c r="Q21" s="29">
        <v>80</v>
      </c>
      <c r="R21" s="28">
        <v>90</v>
      </c>
      <c r="S21" s="28">
        <v>170</v>
      </c>
      <c r="T21" s="28">
        <v>100</v>
      </c>
      <c r="U21" s="28">
        <v>100</v>
      </c>
      <c r="V21" s="29">
        <v>50</v>
      </c>
      <c r="W21" s="28">
        <v>60</v>
      </c>
      <c r="X21" s="28">
        <v>55</v>
      </c>
      <c r="Y21" s="28">
        <v>70</v>
      </c>
      <c r="Z21" s="28">
        <v>100</v>
      </c>
      <c r="AA21" s="28">
        <v>110</v>
      </c>
      <c r="AB21" s="28">
        <v>90</v>
      </c>
      <c r="AC21" s="28">
        <v>60</v>
      </c>
      <c r="AD21" s="28">
        <v>70</v>
      </c>
      <c r="AE21" s="28">
        <v>90</v>
      </c>
      <c r="AF21" s="28">
        <v>80</v>
      </c>
      <c r="AG21" s="28">
        <v>50</v>
      </c>
      <c r="AH21" s="28">
        <v>30</v>
      </c>
      <c r="AI21" s="28">
        <v>20</v>
      </c>
    </row>
    <row r="22" spans="1:35">
      <c r="A22" s="32"/>
      <c r="B22" s="32" t="s">
        <v>59</v>
      </c>
      <c r="C22" s="32"/>
      <c r="D22" s="26">
        <f>SUM(E22:AH22)</f>
        <v>770</v>
      </c>
      <c r="E22" s="34">
        <v>20</v>
      </c>
      <c r="F22" s="34">
        <v>30</v>
      </c>
      <c r="G22" s="34">
        <v>50</v>
      </c>
      <c r="H22" s="34">
        <v>20</v>
      </c>
      <c r="I22" s="36">
        <v>20</v>
      </c>
      <c r="J22" s="35">
        <v>15</v>
      </c>
      <c r="K22" s="34">
        <v>10</v>
      </c>
      <c r="L22" s="34">
        <v>10</v>
      </c>
      <c r="M22" s="34">
        <v>50</v>
      </c>
      <c r="N22" s="34">
        <v>80</v>
      </c>
      <c r="O22" s="29">
        <v>20</v>
      </c>
      <c r="P22" s="29">
        <v>10</v>
      </c>
      <c r="Q22" s="29">
        <v>30</v>
      </c>
      <c r="R22" s="28">
        <v>30</v>
      </c>
      <c r="S22" s="28">
        <v>50</v>
      </c>
      <c r="T22" s="28">
        <v>60</v>
      </c>
      <c r="U22" s="28">
        <v>20</v>
      </c>
      <c r="V22" s="29">
        <v>15</v>
      </c>
      <c r="W22" s="28">
        <v>10</v>
      </c>
      <c r="X22" s="28">
        <v>5</v>
      </c>
      <c r="Y22" s="28">
        <v>10</v>
      </c>
      <c r="Z22" s="28">
        <v>35</v>
      </c>
      <c r="AA22" s="28">
        <v>50</v>
      </c>
      <c r="AB22" s="28">
        <v>30</v>
      </c>
      <c r="AC22" s="28">
        <v>10</v>
      </c>
      <c r="AD22" s="28">
        <v>10</v>
      </c>
      <c r="AE22" s="28">
        <v>30</v>
      </c>
      <c r="AF22" s="28">
        <v>10</v>
      </c>
      <c r="AG22" s="28">
        <v>20</v>
      </c>
      <c r="AH22" s="28">
        <v>10</v>
      </c>
      <c r="AI22" s="28">
        <v>5</v>
      </c>
    </row>
    <row r="23" spans="1:35" ht="27">
      <c r="A23" s="32"/>
      <c r="B23" s="33" t="s">
        <v>7</v>
      </c>
      <c r="C23" s="32"/>
      <c r="D23" s="26">
        <f>SUM(E23:AH23)</f>
        <v>0</v>
      </c>
      <c r="E23" s="28"/>
      <c r="F23" s="28"/>
      <c r="G23" s="28"/>
      <c r="H23" s="28"/>
      <c r="I23" s="30"/>
      <c r="J23" s="31"/>
      <c r="K23" s="28"/>
      <c r="L23" s="28"/>
      <c r="M23" s="28"/>
      <c r="N23" s="28"/>
      <c r="O23" s="29"/>
      <c r="P23" s="29"/>
      <c r="Q23" s="29"/>
      <c r="R23" s="28"/>
      <c r="S23" s="30"/>
      <c r="T23" s="28"/>
      <c r="U23" s="28"/>
      <c r="V23" s="29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>
      <c r="A24" s="27" t="s">
        <v>63</v>
      </c>
      <c r="B24" s="27"/>
      <c r="C24" s="27"/>
      <c r="D24" s="26">
        <f>SUM(D6:D23)</f>
        <v>344858</v>
      </c>
      <c r="E24" s="26">
        <f>SUM(E6:E23)</f>
        <v>19314</v>
      </c>
      <c r="F24" s="26">
        <f>SUM(F6:F23)</f>
        <v>23500</v>
      </c>
      <c r="G24" s="26">
        <f>SUM(G6:G23)</f>
        <v>22510</v>
      </c>
      <c r="H24" s="26">
        <f>SUM(H6:H23)</f>
        <v>11815</v>
      </c>
      <c r="I24" s="26">
        <f>SUM(I6:I23)</f>
        <v>9682</v>
      </c>
      <c r="J24" s="26">
        <f>SUM(J6:J23)</f>
        <v>6620</v>
      </c>
      <c r="K24" s="26">
        <f>SUM(K6:K23)</f>
        <v>8917</v>
      </c>
      <c r="L24" s="26">
        <f>SUM(L6:L23)</f>
        <v>10455</v>
      </c>
      <c r="M24" s="26">
        <f>SUM(M6:M23)</f>
        <v>12741</v>
      </c>
      <c r="N24" s="26">
        <f>SUM(N6:N23)</f>
        <v>15935</v>
      </c>
      <c r="O24" s="26">
        <f>SUM(O6:O23)</f>
        <v>10561</v>
      </c>
      <c r="P24" s="26">
        <f>SUM(P6:P23)</f>
        <v>8160</v>
      </c>
      <c r="Q24" s="26">
        <f>SUM(Q6:Q23)</f>
        <v>7250</v>
      </c>
      <c r="R24" s="26">
        <f>SUM(R6:R23)</f>
        <v>6663</v>
      </c>
      <c r="S24" s="26">
        <f>SUM(S6:S23)</f>
        <v>12938</v>
      </c>
      <c r="T24" s="26">
        <f>SUM(T6:T23)</f>
        <v>15185</v>
      </c>
      <c r="U24" s="26">
        <f>SUM(U6:U23)</f>
        <v>16280</v>
      </c>
      <c r="V24" s="26">
        <f>SUM(V6:V23)</f>
        <v>9488</v>
      </c>
      <c r="W24" s="26">
        <f>SUM(W6:W23)</f>
        <v>11873</v>
      </c>
      <c r="X24" s="26">
        <f>SUM(X6:X23)</f>
        <v>4805</v>
      </c>
      <c r="Y24" s="26">
        <f>SUM(Y6:Y23)</f>
        <v>8375</v>
      </c>
      <c r="Z24" s="26">
        <f>SUM(Z6:Z23)</f>
        <v>9818</v>
      </c>
      <c r="AA24" s="26">
        <f>SUM(AA6:AA23)</f>
        <v>14647</v>
      </c>
      <c r="AB24" s="26">
        <f>SUM(AB6:AB23)</f>
        <v>19495</v>
      </c>
      <c r="AC24" s="26">
        <f>SUM(AC6:AC23)</f>
        <v>6900</v>
      </c>
      <c r="AD24" s="26">
        <f>SUM(AD6:AD23)</f>
        <v>9911</v>
      </c>
      <c r="AE24" s="26">
        <f>SUM(AE6:AE23)</f>
        <v>10777</v>
      </c>
      <c r="AF24" s="26">
        <f>SUM(AF6:AF23)</f>
        <v>7487</v>
      </c>
      <c r="AG24" s="26">
        <f>SUM(AG6:AG23)</f>
        <v>5646</v>
      </c>
      <c r="AH24" s="26">
        <f>SUM(AH6:AH23)</f>
        <v>7110</v>
      </c>
      <c r="AI24" s="26">
        <f>SUM(AI6:AI23)</f>
        <v>6670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/>
  </sheetViews>
  <sheetFormatPr defaultRowHeight="16.5"/>
  <cols>
    <col min="1" max="16384" width="9" style="46"/>
  </cols>
  <sheetData>
    <row r="1" spans="1:35" ht="31.5">
      <c r="B1" s="43"/>
      <c r="C1" s="43"/>
      <c r="F1" s="43"/>
    </row>
    <row r="2" spans="1:35" ht="26.25">
      <c r="A2" s="4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35">
      <c r="A3" s="27" t="s">
        <v>47</v>
      </c>
      <c r="B3" s="27"/>
      <c r="C3" s="27"/>
      <c r="D3" s="27" t="s">
        <v>64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27">
        <v>31</v>
      </c>
    </row>
    <row r="4" spans="1:35">
      <c r="A4" s="27" t="s">
        <v>49</v>
      </c>
      <c r="B4" s="27"/>
      <c r="C4" s="27"/>
      <c r="D4" s="27"/>
      <c r="E4" s="32" t="s">
        <v>46</v>
      </c>
      <c r="F4" s="32" t="s">
        <v>58</v>
      </c>
      <c r="G4" s="32" t="s">
        <v>40</v>
      </c>
      <c r="H4" s="32" t="s">
        <v>51</v>
      </c>
      <c r="I4" s="32" t="s">
        <v>44</v>
      </c>
      <c r="J4" s="32" t="s">
        <v>53</v>
      </c>
      <c r="K4" s="32" t="s">
        <v>55</v>
      </c>
      <c r="L4" s="32" t="s">
        <v>46</v>
      </c>
      <c r="M4" s="32" t="s">
        <v>58</v>
      </c>
      <c r="N4" s="32" t="s">
        <v>40</v>
      </c>
      <c r="O4" s="32" t="s">
        <v>51</v>
      </c>
      <c r="P4" s="32" t="s">
        <v>44</v>
      </c>
      <c r="Q4" s="32" t="s">
        <v>53</v>
      </c>
      <c r="R4" s="32" t="s">
        <v>55</v>
      </c>
      <c r="S4" s="32" t="s">
        <v>46</v>
      </c>
      <c r="T4" s="32" t="s">
        <v>58</v>
      </c>
      <c r="U4" s="32" t="s">
        <v>40</v>
      </c>
      <c r="V4" s="32" t="s">
        <v>51</v>
      </c>
      <c r="W4" s="32" t="s">
        <v>44</v>
      </c>
      <c r="X4" s="32" t="s">
        <v>53</v>
      </c>
      <c r="Y4" s="32" t="s">
        <v>55</v>
      </c>
      <c r="Z4" s="32" t="s">
        <v>46</v>
      </c>
      <c r="AA4" s="32" t="s">
        <v>58</v>
      </c>
      <c r="AB4" s="32" t="s">
        <v>40</v>
      </c>
      <c r="AC4" s="32" t="s">
        <v>51</v>
      </c>
      <c r="AD4" s="32" t="s">
        <v>44</v>
      </c>
      <c r="AE4" s="32" t="s">
        <v>53</v>
      </c>
      <c r="AF4" s="32" t="s">
        <v>55</v>
      </c>
      <c r="AG4" s="32" t="s">
        <v>46</v>
      </c>
      <c r="AH4" s="32" t="s">
        <v>58</v>
      </c>
      <c r="AI4" s="32" t="s">
        <v>40</v>
      </c>
    </row>
    <row r="5" spans="1:35">
      <c r="A5" s="32" t="s">
        <v>57</v>
      </c>
      <c r="B5" s="32" t="s">
        <v>50</v>
      </c>
      <c r="C5" s="32"/>
      <c r="D5" s="40"/>
      <c r="E5" s="39" t="s">
        <v>45</v>
      </c>
      <c r="F5" s="39" t="s">
        <v>78</v>
      </c>
      <c r="G5" s="39" t="s">
        <v>56</v>
      </c>
      <c r="H5" s="39" t="s">
        <v>56</v>
      </c>
      <c r="I5" s="39" t="s">
        <v>61</v>
      </c>
      <c r="J5" s="39" t="s">
        <v>79</v>
      </c>
      <c r="K5" s="39" t="s">
        <v>78</v>
      </c>
      <c r="L5" s="39" t="s">
        <v>45</v>
      </c>
      <c r="M5" s="39" t="s">
        <v>45</v>
      </c>
      <c r="N5" s="39" t="s">
        <v>78</v>
      </c>
      <c r="O5" s="39" t="s">
        <v>61</v>
      </c>
      <c r="P5" s="39" t="s">
        <v>56</v>
      </c>
      <c r="Q5" s="39" t="s">
        <v>56</v>
      </c>
      <c r="R5" s="39" t="s">
        <v>61</v>
      </c>
      <c r="S5" s="39" t="s">
        <v>78</v>
      </c>
      <c r="T5" s="39" t="s">
        <v>61</v>
      </c>
      <c r="U5" s="39" t="s">
        <v>61</v>
      </c>
      <c r="V5" s="39" t="s">
        <v>61</v>
      </c>
      <c r="W5" s="39" t="s">
        <v>78</v>
      </c>
      <c r="X5" s="39" t="s">
        <v>61</v>
      </c>
      <c r="Y5" s="39" t="s">
        <v>61</v>
      </c>
      <c r="Z5" s="39" t="s">
        <v>61</v>
      </c>
      <c r="AA5" s="39" t="s">
        <v>61</v>
      </c>
      <c r="AB5" s="39" t="s">
        <v>56</v>
      </c>
      <c r="AC5" s="39" t="s">
        <v>61</v>
      </c>
      <c r="AD5" s="39" t="s">
        <v>61</v>
      </c>
      <c r="AE5" s="39" t="s">
        <v>61</v>
      </c>
      <c r="AF5" s="39" t="s">
        <v>45</v>
      </c>
      <c r="AG5" s="39" t="s">
        <v>45</v>
      </c>
      <c r="AH5" s="39" t="s">
        <v>45</v>
      </c>
      <c r="AI5" s="39" t="s">
        <v>61</v>
      </c>
    </row>
    <row r="6" spans="1:35" ht="33">
      <c r="A6" s="32"/>
      <c r="B6" s="32" t="s">
        <v>10</v>
      </c>
      <c r="C6" s="32"/>
      <c r="D6" s="26">
        <f>SUM(E6:AH6)</f>
        <v>0</v>
      </c>
      <c r="E6" s="34"/>
      <c r="F6" s="34"/>
      <c r="G6" s="34"/>
      <c r="H6" s="34"/>
      <c r="I6" s="36"/>
      <c r="J6" s="35"/>
      <c r="K6" s="34"/>
      <c r="L6" s="34"/>
      <c r="M6" s="34"/>
      <c r="N6" s="34"/>
      <c r="O6" s="29"/>
      <c r="P6" s="29"/>
      <c r="Q6" s="29"/>
      <c r="R6" s="28"/>
      <c r="S6" s="28"/>
      <c r="T6" s="28"/>
      <c r="U6" s="28"/>
      <c r="V6" s="29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</row>
    <row r="7" spans="1:35" ht="33">
      <c r="A7" s="32"/>
      <c r="B7" s="32" t="s">
        <v>9</v>
      </c>
      <c r="C7" s="32"/>
      <c r="D7" s="26">
        <f>SUM(E7:AH7)</f>
        <v>87050</v>
      </c>
      <c r="E7" s="34">
        <v>3540</v>
      </c>
      <c r="F7" s="34">
        <v>4920</v>
      </c>
      <c r="G7" s="34">
        <v>3190</v>
      </c>
      <c r="H7" s="34">
        <v>3100</v>
      </c>
      <c r="I7" s="36">
        <v>3400</v>
      </c>
      <c r="J7" s="35">
        <v>3200</v>
      </c>
      <c r="K7" s="34">
        <v>2200</v>
      </c>
      <c r="L7" s="34">
        <v>2700</v>
      </c>
      <c r="M7" s="34">
        <v>1300</v>
      </c>
      <c r="N7" s="34">
        <v>1100</v>
      </c>
      <c r="O7" s="29">
        <v>3400</v>
      </c>
      <c r="P7" s="29">
        <v>3200</v>
      </c>
      <c r="Q7" s="29">
        <v>2265</v>
      </c>
      <c r="R7" s="28">
        <v>4500</v>
      </c>
      <c r="S7" s="28">
        <v>1320</v>
      </c>
      <c r="T7" s="28">
        <v>2500</v>
      </c>
      <c r="U7" s="28">
        <v>2200</v>
      </c>
      <c r="V7" s="29">
        <v>2795</v>
      </c>
      <c r="W7" s="28">
        <v>3000</v>
      </c>
      <c r="X7" s="28">
        <v>4950</v>
      </c>
      <c r="Y7" s="28">
        <v>4810</v>
      </c>
      <c r="Z7" s="28">
        <v>2500</v>
      </c>
      <c r="AA7" s="28">
        <v>2370</v>
      </c>
      <c r="AB7" s="28">
        <v>2150</v>
      </c>
      <c r="AC7" s="28">
        <v>2340</v>
      </c>
      <c r="AD7" s="28">
        <v>4400</v>
      </c>
      <c r="AE7" s="28">
        <v>4700</v>
      </c>
      <c r="AF7" s="28">
        <v>2500</v>
      </c>
      <c r="AG7" s="28">
        <v>1300</v>
      </c>
      <c r="AH7" s="28">
        <v>1200</v>
      </c>
      <c r="AI7" s="28">
        <v>3100</v>
      </c>
    </row>
    <row r="8" spans="1:35" ht="33">
      <c r="A8" s="32"/>
      <c r="B8" s="32" t="s">
        <v>5</v>
      </c>
      <c r="C8" s="32"/>
      <c r="D8" s="26">
        <f>SUM(E8:AH8)</f>
        <v>67849</v>
      </c>
      <c r="E8" s="34">
        <v>3094</v>
      </c>
      <c r="F8" s="34">
        <v>2400</v>
      </c>
      <c r="G8" s="34">
        <v>3100</v>
      </c>
      <c r="H8" s="34">
        <v>1500</v>
      </c>
      <c r="I8" s="36">
        <v>1210</v>
      </c>
      <c r="J8" s="35">
        <v>2300</v>
      </c>
      <c r="K8" s="34">
        <v>1512</v>
      </c>
      <c r="L8" s="34">
        <v>2380</v>
      </c>
      <c r="M8" s="34">
        <v>900</v>
      </c>
      <c r="N8" s="34">
        <v>1500</v>
      </c>
      <c r="O8" s="29">
        <v>2500</v>
      </c>
      <c r="P8" s="29">
        <v>4460</v>
      </c>
      <c r="Q8" s="29">
        <v>2360</v>
      </c>
      <c r="R8" s="28">
        <v>3758</v>
      </c>
      <c r="S8" s="28">
        <v>2400</v>
      </c>
      <c r="T8" s="28">
        <v>1800</v>
      </c>
      <c r="U8" s="28">
        <v>1200</v>
      </c>
      <c r="V8" s="29">
        <v>2300</v>
      </c>
      <c r="W8" s="28">
        <v>3400</v>
      </c>
      <c r="X8" s="28">
        <v>2460</v>
      </c>
      <c r="Y8" s="28">
        <v>3710</v>
      </c>
      <c r="Z8" s="28">
        <v>2000</v>
      </c>
      <c r="AA8" s="28">
        <v>2400</v>
      </c>
      <c r="AB8" s="28">
        <v>1145</v>
      </c>
      <c r="AC8" s="28">
        <v>1100</v>
      </c>
      <c r="AD8" s="28">
        <v>3300</v>
      </c>
      <c r="AE8" s="28">
        <v>3500</v>
      </c>
      <c r="AF8" s="28">
        <v>1660</v>
      </c>
      <c r="AG8" s="28">
        <v>1000</v>
      </c>
      <c r="AH8" s="28">
        <v>1500</v>
      </c>
      <c r="AI8" s="28">
        <v>2000</v>
      </c>
    </row>
    <row r="9" spans="1:35">
      <c r="A9" s="32"/>
      <c r="B9" s="32" t="s">
        <v>28</v>
      </c>
      <c r="C9" s="32"/>
      <c r="D9" s="26">
        <f>SUM(E9:AH9)</f>
        <v>63615</v>
      </c>
      <c r="E9" s="34">
        <v>2720</v>
      </c>
      <c r="F9" s="34">
        <v>1300</v>
      </c>
      <c r="G9" s="34">
        <v>2580</v>
      </c>
      <c r="H9" s="34">
        <v>800</v>
      </c>
      <c r="I9" s="36">
        <v>2110</v>
      </c>
      <c r="J9" s="35">
        <v>1500</v>
      </c>
      <c r="K9" s="34">
        <v>1700</v>
      </c>
      <c r="L9" s="34">
        <v>1100</v>
      </c>
      <c r="M9" s="34">
        <v>900</v>
      </c>
      <c r="N9" s="34">
        <v>1100</v>
      </c>
      <c r="O9" s="29">
        <v>2300</v>
      </c>
      <c r="P9" s="29">
        <v>2070</v>
      </c>
      <c r="Q9" s="29">
        <v>2210</v>
      </c>
      <c r="R9" s="28">
        <v>3200</v>
      </c>
      <c r="S9" s="28">
        <v>3500</v>
      </c>
      <c r="T9" s="28">
        <v>3300</v>
      </c>
      <c r="U9" s="28">
        <v>1700</v>
      </c>
      <c r="V9" s="29">
        <v>2200</v>
      </c>
      <c r="W9" s="28">
        <v>3800</v>
      </c>
      <c r="X9" s="28">
        <v>3250</v>
      </c>
      <c r="Y9" s="28">
        <v>3685</v>
      </c>
      <c r="Z9" s="28">
        <v>2900</v>
      </c>
      <c r="AA9" s="28">
        <v>2300</v>
      </c>
      <c r="AB9" s="28">
        <v>1390</v>
      </c>
      <c r="AC9" s="28">
        <v>1200</v>
      </c>
      <c r="AD9" s="28">
        <v>2500</v>
      </c>
      <c r="AE9" s="28">
        <v>3100</v>
      </c>
      <c r="AF9" s="28">
        <v>1500</v>
      </c>
      <c r="AG9" s="28">
        <v>700</v>
      </c>
      <c r="AH9" s="28">
        <v>1000</v>
      </c>
      <c r="AI9" s="28">
        <v>2600</v>
      </c>
    </row>
    <row r="10" spans="1:35">
      <c r="A10" s="32"/>
      <c r="B10" s="32" t="s">
        <v>42</v>
      </c>
      <c r="C10" s="32"/>
      <c r="D10" s="26">
        <f>SUM(E10:AH10)</f>
        <v>0</v>
      </c>
      <c r="E10" s="34"/>
      <c r="F10" s="34"/>
      <c r="G10" s="34"/>
      <c r="H10" s="34"/>
      <c r="I10" s="36"/>
      <c r="J10" s="35"/>
      <c r="K10" s="34"/>
      <c r="L10" s="34"/>
      <c r="M10" s="34"/>
      <c r="N10" s="34"/>
      <c r="O10" s="29"/>
      <c r="P10" s="29"/>
      <c r="Q10" s="29"/>
      <c r="R10" s="28"/>
      <c r="S10" s="28"/>
      <c r="T10" s="28"/>
      <c r="U10" s="28"/>
      <c r="V10" s="29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spans="1:35">
      <c r="A11" s="32"/>
      <c r="B11" s="32" t="s">
        <v>22</v>
      </c>
      <c r="C11" s="32"/>
      <c r="D11" s="26">
        <f>SUM(E11:AH11)</f>
        <v>0</v>
      </c>
      <c r="E11" s="34"/>
      <c r="F11" s="34"/>
      <c r="G11" s="34"/>
      <c r="H11" s="34"/>
      <c r="I11" s="36"/>
      <c r="J11" s="35"/>
      <c r="K11" s="34"/>
      <c r="L11" s="34"/>
      <c r="M11" s="34"/>
      <c r="N11" s="34"/>
      <c r="O11" s="29"/>
      <c r="P11" s="29"/>
      <c r="Q11" s="29"/>
      <c r="R11" s="28"/>
      <c r="S11" s="28"/>
      <c r="T11" s="28"/>
      <c r="U11" s="28"/>
      <c r="V11" s="29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</row>
    <row r="12" spans="1:35">
      <c r="A12" s="32"/>
      <c r="B12" s="32" t="s">
        <v>15</v>
      </c>
      <c r="C12" s="32"/>
      <c r="D12" s="26">
        <f>SUM(E12:AH12)</f>
        <v>0</v>
      </c>
      <c r="E12" s="34"/>
      <c r="F12" s="34"/>
      <c r="G12" s="34"/>
      <c r="H12" s="34"/>
      <c r="I12" s="36"/>
      <c r="J12" s="35"/>
      <c r="K12" s="34"/>
      <c r="L12" s="34"/>
      <c r="M12" s="34"/>
      <c r="N12" s="34"/>
      <c r="O12" s="29"/>
      <c r="P12" s="29"/>
      <c r="Q12" s="29"/>
      <c r="R12" s="28"/>
      <c r="S12" s="28"/>
      <c r="T12" s="28"/>
      <c r="U12" s="28"/>
      <c r="V12" s="29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</row>
    <row r="13" spans="1:35" ht="33">
      <c r="A13" s="32"/>
      <c r="B13" s="32" t="s">
        <v>18</v>
      </c>
      <c r="C13" s="32"/>
      <c r="D13" s="26">
        <f>SUM(E13:AH13)</f>
        <v>0</v>
      </c>
      <c r="E13" s="34"/>
      <c r="F13" s="34"/>
      <c r="G13" s="34"/>
      <c r="H13" s="34"/>
      <c r="I13" s="36"/>
      <c r="J13" s="35"/>
      <c r="K13" s="34"/>
      <c r="L13" s="34"/>
      <c r="M13" s="34"/>
      <c r="N13" s="34"/>
      <c r="O13" s="29"/>
      <c r="P13" s="29"/>
      <c r="Q13" s="29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</row>
    <row r="14" spans="1:35" ht="33">
      <c r="A14" s="32"/>
      <c r="B14" s="32" t="s">
        <v>6</v>
      </c>
      <c r="C14" s="32"/>
      <c r="D14" s="26">
        <f>SUM(E14:AH14)</f>
        <v>5370</v>
      </c>
      <c r="E14" s="34">
        <v>10</v>
      </c>
      <c r="F14" s="34">
        <v>30</v>
      </c>
      <c r="G14" s="34">
        <v>50</v>
      </c>
      <c r="H14" s="34">
        <v>50</v>
      </c>
      <c r="I14" s="36">
        <v>100</v>
      </c>
      <c r="J14" s="35">
        <v>500</v>
      </c>
      <c r="K14" s="34">
        <v>500</v>
      </c>
      <c r="L14" s="34">
        <v>40</v>
      </c>
      <c r="M14" s="34">
        <v>50</v>
      </c>
      <c r="N14" s="34">
        <v>90</v>
      </c>
      <c r="O14" s="29">
        <v>400</v>
      </c>
      <c r="P14" s="29">
        <v>600</v>
      </c>
      <c r="Q14" s="29">
        <v>500</v>
      </c>
      <c r="R14" s="28">
        <v>300</v>
      </c>
      <c r="S14" s="28">
        <v>100</v>
      </c>
      <c r="T14" s="30">
        <v>150</v>
      </c>
      <c r="U14" s="28">
        <v>150</v>
      </c>
      <c r="V14" s="29">
        <v>100</v>
      </c>
      <c r="W14" s="28">
        <v>150</v>
      </c>
      <c r="X14" s="28">
        <v>900</v>
      </c>
      <c r="Y14" s="28">
        <v>600</v>
      </c>
      <c r="Z14" s="28"/>
      <c r="AA14" s="28"/>
      <c r="AB14" s="28"/>
      <c r="AC14" s="28"/>
      <c r="AD14" s="28"/>
      <c r="AE14" s="28"/>
      <c r="AF14" s="28"/>
      <c r="AG14" s="28"/>
      <c r="AH14" s="28"/>
      <c r="AI14" s="28"/>
    </row>
    <row r="15" spans="1:35">
      <c r="A15" s="32"/>
      <c r="B15" s="32" t="s">
        <v>52</v>
      </c>
      <c r="C15" s="32"/>
      <c r="D15" s="26">
        <f>SUM(E15:AH15)</f>
        <v>0</v>
      </c>
      <c r="E15" s="34"/>
      <c r="F15" s="34"/>
      <c r="G15" s="34"/>
      <c r="H15" s="34"/>
      <c r="I15" s="36"/>
      <c r="J15" s="35"/>
      <c r="K15" s="34"/>
      <c r="L15" s="34"/>
      <c r="M15" s="34"/>
      <c r="N15" s="34"/>
      <c r="O15" s="29"/>
      <c r="P15" s="29"/>
      <c r="Q15" s="29"/>
      <c r="R15" s="28"/>
      <c r="S15" s="28"/>
      <c r="T15" s="28"/>
      <c r="U15" s="28"/>
      <c r="V15" s="29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</row>
    <row r="16" spans="1:35">
      <c r="A16" s="32"/>
      <c r="B16" s="32" t="s">
        <v>62</v>
      </c>
      <c r="C16" s="32"/>
      <c r="D16" s="26">
        <f>SUM(E16:AH16)</f>
        <v>0</v>
      </c>
      <c r="E16" s="34"/>
      <c r="F16" s="34"/>
      <c r="G16" s="34"/>
      <c r="H16" s="34"/>
      <c r="I16" s="36"/>
      <c r="J16" s="35"/>
      <c r="K16" s="34"/>
      <c r="L16" s="34"/>
      <c r="M16" s="34"/>
      <c r="N16" s="34"/>
      <c r="O16" s="29"/>
      <c r="P16" s="29"/>
      <c r="Q16" s="29"/>
      <c r="R16" s="28"/>
      <c r="S16" s="28"/>
      <c r="T16" s="28"/>
      <c r="U16" s="28"/>
      <c r="V16" s="29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</row>
    <row r="17" spans="1:35">
      <c r="A17" s="32"/>
      <c r="B17" s="32" t="s">
        <v>29</v>
      </c>
      <c r="C17" s="32"/>
      <c r="D17" s="26">
        <f>SUM(E17:AH17)</f>
        <v>0</v>
      </c>
      <c r="E17" s="34"/>
      <c r="F17" s="34"/>
      <c r="G17" s="34"/>
      <c r="H17" s="34"/>
      <c r="I17" s="36"/>
      <c r="J17" s="35"/>
      <c r="K17" s="34"/>
      <c r="L17" s="34"/>
      <c r="M17" s="38"/>
      <c r="N17" s="34"/>
      <c r="O17" s="29"/>
      <c r="P17" s="29"/>
      <c r="Q17" s="29"/>
      <c r="R17" s="28"/>
      <c r="S17" s="28"/>
      <c r="T17" s="37"/>
      <c r="U17" s="28"/>
      <c r="V17" s="29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</row>
    <row r="18" spans="1:35">
      <c r="A18" s="32"/>
      <c r="B18" s="32" t="s">
        <v>54</v>
      </c>
      <c r="C18" s="32"/>
      <c r="D18" s="26">
        <f>SUM(E18:AH18)</f>
        <v>69855</v>
      </c>
      <c r="E18" s="34">
        <v>2140</v>
      </c>
      <c r="F18" s="34">
        <v>2050</v>
      </c>
      <c r="G18" s="34">
        <v>1920</v>
      </c>
      <c r="H18" s="34">
        <v>1530</v>
      </c>
      <c r="I18" s="36">
        <v>2700</v>
      </c>
      <c r="J18" s="35">
        <v>2500</v>
      </c>
      <c r="K18" s="34">
        <v>1600</v>
      </c>
      <c r="L18" s="34">
        <v>1300</v>
      </c>
      <c r="M18" s="34">
        <v>1900</v>
      </c>
      <c r="N18" s="34">
        <v>1200</v>
      </c>
      <c r="O18" s="29">
        <v>3000</v>
      </c>
      <c r="P18" s="29">
        <v>2500</v>
      </c>
      <c r="Q18" s="29">
        <v>2270</v>
      </c>
      <c r="R18" s="28">
        <v>3880</v>
      </c>
      <c r="S18" s="28">
        <v>2100</v>
      </c>
      <c r="T18" s="28">
        <v>2380</v>
      </c>
      <c r="U18" s="28">
        <v>3300</v>
      </c>
      <c r="V18" s="29">
        <v>2900</v>
      </c>
      <c r="W18" s="28">
        <v>2240</v>
      </c>
      <c r="X18" s="28">
        <v>3700</v>
      </c>
      <c r="Y18" s="28">
        <v>2995</v>
      </c>
      <c r="Z18" s="28">
        <v>2200</v>
      </c>
      <c r="AA18" s="28">
        <v>2300</v>
      </c>
      <c r="AB18" s="28">
        <v>1900</v>
      </c>
      <c r="AC18" s="28">
        <v>2000</v>
      </c>
      <c r="AD18" s="28">
        <v>2000</v>
      </c>
      <c r="AE18" s="28">
        <v>3700</v>
      </c>
      <c r="AF18" s="28">
        <v>2000</v>
      </c>
      <c r="AG18" s="28">
        <v>1900</v>
      </c>
      <c r="AH18" s="28">
        <v>1750</v>
      </c>
      <c r="AI18" s="28">
        <v>1500</v>
      </c>
    </row>
    <row r="19" spans="1:35">
      <c r="A19" s="32"/>
      <c r="B19" s="32" t="s">
        <v>43</v>
      </c>
      <c r="C19" s="32"/>
      <c r="D19" s="26">
        <f>SUM(E19:AH19)</f>
        <v>670</v>
      </c>
      <c r="E19" s="34">
        <v>10</v>
      </c>
      <c r="F19" s="34">
        <v>10</v>
      </c>
      <c r="G19" s="34">
        <v>10</v>
      </c>
      <c r="H19" s="34">
        <v>5</v>
      </c>
      <c r="I19" s="36">
        <v>5</v>
      </c>
      <c r="J19" s="35">
        <v>5</v>
      </c>
      <c r="K19" s="34">
        <v>5</v>
      </c>
      <c r="L19" s="34">
        <v>5</v>
      </c>
      <c r="M19" s="34">
        <v>10</v>
      </c>
      <c r="N19" s="34">
        <v>10</v>
      </c>
      <c r="O19" s="34">
        <v>30</v>
      </c>
      <c r="P19" s="34">
        <v>50</v>
      </c>
      <c r="Q19" s="36">
        <v>5</v>
      </c>
      <c r="R19" s="35">
        <v>5</v>
      </c>
      <c r="S19" s="34">
        <v>50</v>
      </c>
      <c r="T19" s="34">
        <v>10</v>
      </c>
      <c r="U19" s="34">
        <v>10</v>
      </c>
      <c r="V19" s="34">
        <v>5</v>
      </c>
      <c r="W19" s="34">
        <v>5</v>
      </c>
      <c r="X19" s="36">
        <v>50</v>
      </c>
      <c r="Y19" s="35">
        <v>50</v>
      </c>
      <c r="Z19" s="34">
        <v>50</v>
      </c>
      <c r="AA19" s="34">
        <v>100</v>
      </c>
      <c r="AB19" s="34">
        <v>10</v>
      </c>
      <c r="AC19" s="34">
        <v>5</v>
      </c>
      <c r="AD19" s="34">
        <v>50</v>
      </c>
      <c r="AE19" s="34">
        <v>50</v>
      </c>
      <c r="AF19" s="36">
        <v>50</v>
      </c>
      <c r="AG19" s="35">
        <v>5</v>
      </c>
      <c r="AH19" s="34">
        <v>5</v>
      </c>
      <c r="AI19" s="28">
        <v>10</v>
      </c>
    </row>
    <row r="20" spans="1:35" ht="40.5">
      <c r="A20" s="32"/>
      <c r="B20" s="33" t="s">
        <v>12</v>
      </c>
      <c r="C20" s="32"/>
      <c r="D20" s="26">
        <f>SUM(E20:AH20)</f>
        <v>3750</v>
      </c>
      <c r="E20" s="34">
        <v>140</v>
      </c>
      <c r="F20" s="34">
        <v>110</v>
      </c>
      <c r="G20" s="34">
        <v>100</v>
      </c>
      <c r="H20" s="34">
        <v>50</v>
      </c>
      <c r="I20" s="36">
        <v>100</v>
      </c>
      <c r="J20" s="35">
        <v>100</v>
      </c>
      <c r="K20" s="34">
        <v>100</v>
      </c>
      <c r="L20" s="34">
        <v>60</v>
      </c>
      <c r="M20" s="34">
        <v>50</v>
      </c>
      <c r="N20" s="34">
        <v>50</v>
      </c>
      <c r="O20" s="29">
        <v>100</v>
      </c>
      <c r="P20" s="29">
        <v>150</v>
      </c>
      <c r="Q20" s="29">
        <v>100</v>
      </c>
      <c r="R20" s="28">
        <v>100</v>
      </c>
      <c r="S20" s="28">
        <v>200</v>
      </c>
      <c r="T20" s="28">
        <v>200</v>
      </c>
      <c r="U20" s="28">
        <v>200</v>
      </c>
      <c r="V20" s="29">
        <v>70</v>
      </c>
      <c r="W20" s="28">
        <v>90</v>
      </c>
      <c r="X20" s="28">
        <v>200</v>
      </c>
      <c r="Y20" s="28">
        <v>300</v>
      </c>
      <c r="Z20" s="28">
        <v>100</v>
      </c>
      <c r="AA20" s="28">
        <v>150</v>
      </c>
      <c r="AB20" s="28">
        <v>100</v>
      </c>
      <c r="AC20" s="28">
        <v>100</v>
      </c>
      <c r="AD20" s="28">
        <v>200</v>
      </c>
      <c r="AE20" s="28">
        <v>300</v>
      </c>
      <c r="AF20" s="28">
        <v>100</v>
      </c>
      <c r="AG20" s="28">
        <v>100</v>
      </c>
      <c r="AH20" s="28">
        <v>30</v>
      </c>
      <c r="AI20" s="28">
        <v>100</v>
      </c>
    </row>
    <row r="21" spans="1:35">
      <c r="A21" s="32"/>
      <c r="B21" s="32" t="s">
        <v>39</v>
      </c>
      <c r="C21" s="32"/>
      <c r="D21" s="26">
        <f>SUM(E21:AH21)</f>
        <v>2530</v>
      </c>
      <c r="E21" s="34">
        <v>10</v>
      </c>
      <c r="F21" s="34">
        <v>30</v>
      </c>
      <c r="G21" s="34">
        <v>20</v>
      </c>
      <c r="H21" s="34">
        <v>30</v>
      </c>
      <c r="I21" s="36">
        <v>70</v>
      </c>
      <c r="J21" s="35">
        <v>100</v>
      </c>
      <c r="K21" s="34">
        <v>50</v>
      </c>
      <c r="L21" s="34">
        <v>50</v>
      </c>
      <c r="M21" s="34">
        <v>50</v>
      </c>
      <c r="N21" s="34">
        <v>50</v>
      </c>
      <c r="O21" s="29">
        <v>100</v>
      </c>
      <c r="P21" s="29">
        <v>200</v>
      </c>
      <c r="Q21" s="29">
        <v>50</v>
      </c>
      <c r="R21" s="28">
        <v>90</v>
      </c>
      <c r="S21" s="28">
        <v>200</v>
      </c>
      <c r="T21" s="28">
        <v>150</v>
      </c>
      <c r="U21" s="28">
        <v>100</v>
      </c>
      <c r="V21" s="29">
        <v>50</v>
      </c>
      <c r="W21" s="28">
        <v>60</v>
      </c>
      <c r="X21" s="28">
        <v>150</v>
      </c>
      <c r="Y21" s="28">
        <v>200</v>
      </c>
      <c r="Z21" s="28">
        <v>100</v>
      </c>
      <c r="AA21" s="28">
        <v>100</v>
      </c>
      <c r="AB21" s="28">
        <v>50</v>
      </c>
      <c r="AC21" s="28">
        <v>60</v>
      </c>
      <c r="AD21" s="28">
        <v>100</v>
      </c>
      <c r="AE21" s="28">
        <v>200</v>
      </c>
      <c r="AF21" s="28">
        <v>50</v>
      </c>
      <c r="AG21" s="28">
        <v>50</v>
      </c>
      <c r="AH21" s="28">
        <v>10</v>
      </c>
      <c r="AI21" s="28">
        <v>50</v>
      </c>
    </row>
    <row r="22" spans="1:35">
      <c r="A22" s="32"/>
      <c r="B22" s="32" t="s">
        <v>59</v>
      </c>
      <c r="C22" s="32"/>
      <c r="D22" s="26">
        <f>SUM(E22:AH22)</f>
        <v>415</v>
      </c>
      <c r="E22" s="34">
        <v>5</v>
      </c>
      <c r="F22" s="34">
        <v>5</v>
      </c>
      <c r="G22" s="34">
        <v>5</v>
      </c>
      <c r="H22" s="34">
        <v>10</v>
      </c>
      <c r="I22" s="36">
        <v>10</v>
      </c>
      <c r="J22" s="35">
        <v>20</v>
      </c>
      <c r="K22" s="34">
        <v>10</v>
      </c>
      <c r="L22" s="34">
        <v>5</v>
      </c>
      <c r="M22" s="34">
        <v>5</v>
      </c>
      <c r="N22" s="34">
        <v>5</v>
      </c>
      <c r="O22" s="29">
        <v>20</v>
      </c>
      <c r="P22" s="29">
        <v>10</v>
      </c>
      <c r="Q22" s="29">
        <v>5</v>
      </c>
      <c r="R22" s="28">
        <v>30</v>
      </c>
      <c r="S22" s="28">
        <v>10</v>
      </c>
      <c r="T22" s="28">
        <v>10</v>
      </c>
      <c r="U22" s="28">
        <v>20</v>
      </c>
      <c r="V22" s="29">
        <v>5</v>
      </c>
      <c r="W22" s="28">
        <v>10</v>
      </c>
      <c r="X22" s="28">
        <v>50</v>
      </c>
      <c r="Y22" s="28">
        <v>50</v>
      </c>
      <c r="Z22" s="28">
        <v>5</v>
      </c>
      <c r="AA22" s="28">
        <v>10</v>
      </c>
      <c r="AB22" s="28">
        <v>5</v>
      </c>
      <c r="AC22" s="28">
        <v>10</v>
      </c>
      <c r="AD22" s="28">
        <v>20</v>
      </c>
      <c r="AE22" s="28">
        <v>50</v>
      </c>
      <c r="AF22" s="28">
        <v>5</v>
      </c>
      <c r="AG22" s="28">
        <v>5</v>
      </c>
      <c r="AH22" s="28">
        <v>5</v>
      </c>
      <c r="AI22" s="28">
        <v>10</v>
      </c>
    </row>
    <row r="23" spans="1:35" ht="27">
      <c r="A23" s="32"/>
      <c r="B23" s="33" t="s">
        <v>7</v>
      </c>
      <c r="C23" s="32"/>
      <c r="D23" s="26">
        <f>SUM(E23:AH23)</f>
        <v>0</v>
      </c>
      <c r="E23" s="28"/>
      <c r="F23" s="28"/>
      <c r="G23" s="28"/>
      <c r="H23" s="28"/>
      <c r="I23" s="30"/>
      <c r="J23" s="31"/>
      <c r="K23" s="28"/>
      <c r="L23" s="28"/>
      <c r="M23" s="28"/>
      <c r="N23" s="28"/>
      <c r="O23" s="29"/>
      <c r="P23" s="29"/>
      <c r="Q23" s="29"/>
      <c r="R23" s="28"/>
      <c r="S23" s="30"/>
      <c r="T23" s="28"/>
      <c r="U23" s="28"/>
      <c r="V23" s="29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</row>
    <row r="24" spans="1:35">
      <c r="A24" s="27" t="s">
        <v>63</v>
      </c>
      <c r="B24" s="27"/>
      <c r="C24" s="27"/>
      <c r="D24" s="26">
        <f>SUM(D6:D23)</f>
        <v>301104</v>
      </c>
      <c r="E24" s="26">
        <f>SUM(E6:E23)</f>
        <v>11669</v>
      </c>
      <c r="F24" s="26">
        <f>SUM(F6:F23)</f>
        <v>10855</v>
      </c>
      <c r="G24" s="26">
        <f>SUM(G6:G23)</f>
        <v>10975</v>
      </c>
      <c r="H24" s="26">
        <f>SUM(H6:H23)</f>
        <v>7075</v>
      </c>
      <c r="I24" s="26">
        <f>SUM(I6:I23)</f>
        <v>9705</v>
      </c>
      <c r="J24" s="26">
        <f>SUM(J6:J23)</f>
        <v>10225</v>
      </c>
      <c r="K24" s="26">
        <f>SUM(K6:K23)</f>
        <v>7677</v>
      </c>
      <c r="L24" s="26">
        <f>SUM(L6:L23)</f>
        <v>7640</v>
      </c>
      <c r="M24" s="26">
        <f>SUM(M6:M23)</f>
        <v>5165</v>
      </c>
      <c r="N24" s="26">
        <f>SUM(N6:N23)</f>
        <v>5105</v>
      </c>
      <c r="O24" s="26">
        <f>SUM(O6:O23)</f>
        <v>11850</v>
      </c>
      <c r="P24" s="26">
        <f>SUM(P6:P23)</f>
        <v>13240</v>
      </c>
      <c r="Q24" s="26">
        <f>SUM(Q6:Q23)</f>
        <v>9765</v>
      </c>
      <c r="R24" s="26">
        <f>SUM(R6:R23)</f>
        <v>15863</v>
      </c>
      <c r="S24" s="26">
        <f>SUM(S6:S23)</f>
        <v>9880</v>
      </c>
      <c r="T24" s="26">
        <f>SUM(T6:T23)</f>
        <v>10500</v>
      </c>
      <c r="U24" s="26">
        <f>SUM(U6:U23)</f>
        <v>8880</v>
      </c>
      <c r="V24" s="26">
        <f>SUM(V6:V23)</f>
        <v>10425</v>
      </c>
      <c r="W24" s="26">
        <f>SUM(W6:W23)</f>
        <v>12755</v>
      </c>
      <c r="X24" s="26">
        <f>SUM(X6:X23)</f>
        <v>15710</v>
      </c>
      <c r="Y24" s="26">
        <f>SUM(Y6:Y23)</f>
        <v>16400</v>
      </c>
      <c r="Z24" s="26">
        <f>SUM(Z6:Z23)</f>
        <v>9855</v>
      </c>
      <c r="AA24" s="26">
        <f>SUM(AA6:AA23)</f>
        <v>9730</v>
      </c>
      <c r="AB24" s="26">
        <f>SUM(AB6:AB23)</f>
        <v>6750</v>
      </c>
      <c r="AC24" s="26">
        <f>SUM(AC6:AC23)</f>
        <v>6815</v>
      </c>
      <c r="AD24" s="26">
        <f>SUM(AD6:AD23)</f>
        <v>12570</v>
      </c>
      <c r="AE24" s="26">
        <f>SUM(AE6:AE23)</f>
        <v>15600</v>
      </c>
      <c r="AF24" s="26">
        <f>SUM(AF6:AF23)</f>
        <v>7865</v>
      </c>
      <c r="AG24" s="26">
        <f>SUM(AG6:AG23)</f>
        <v>5060</v>
      </c>
      <c r="AH24" s="26">
        <f>SUM(AH6:AH23)</f>
        <v>5500</v>
      </c>
      <c r="AI24" s="26">
        <f>SUM(AI6:AI23)</f>
        <v>9370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workbookViewId="0"/>
  </sheetViews>
  <sheetFormatPr defaultRowHeight="16.5"/>
  <cols>
    <col min="1" max="16384" width="9" style="46"/>
  </cols>
  <sheetData>
    <row r="1" spans="1:34" ht="18.75">
      <c r="A1" s="54" t="s">
        <v>37</v>
      </c>
      <c r="B1" s="53"/>
      <c r="C1" s="53"/>
      <c r="D1" s="52"/>
      <c r="E1" s="52"/>
      <c r="F1" s="53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</row>
    <row r="2" spans="1:34" ht="26.25">
      <c r="A2" s="42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34">
      <c r="A3" s="27" t="s">
        <v>47</v>
      </c>
      <c r="B3" s="27"/>
      <c r="C3" s="27"/>
      <c r="D3" s="27" t="s">
        <v>64</v>
      </c>
      <c r="E3" s="27">
        <v>1</v>
      </c>
      <c r="F3" s="27">
        <v>2</v>
      </c>
      <c r="G3" s="51">
        <v>3</v>
      </c>
      <c r="H3" s="47">
        <v>4</v>
      </c>
      <c r="I3" s="27">
        <v>5</v>
      </c>
      <c r="J3" s="27">
        <v>6</v>
      </c>
      <c r="K3" s="27">
        <v>7</v>
      </c>
      <c r="L3" s="27">
        <v>8</v>
      </c>
      <c r="M3" s="47">
        <v>9</v>
      </c>
      <c r="N3" s="47">
        <v>10</v>
      </c>
      <c r="O3" s="47">
        <v>11</v>
      </c>
      <c r="P3" s="47">
        <v>12</v>
      </c>
      <c r="Q3" s="27">
        <v>13</v>
      </c>
      <c r="R3" s="27">
        <v>14</v>
      </c>
      <c r="S3" s="27">
        <v>15</v>
      </c>
      <c r="T3" s="27">
        <v>16</v>
      </c>
      <c r="U3" s="51">
        <v>17</v>
      </c>
      <c r="V3" s="4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51">
        <v>24</v>
      </c>
      <c r="AC3" s="4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</row>
    <row r="4" spans="1:34">
      <c r="A4" s="27" t="s">
        <v>49</v>
      </c>
      <c r="B4" s="27"/>
      <c r="C4" s="27"/>
      <c r="D4" s="27"/>
      <c r="E4" s="32" t="s">
        <v>51</v>
      </c>
      <c r="F4" s="32" t="s">
        <v>44</v>
      </c>
      <c r="G4" s="50" t="s">
        <v>53</v>
      </c>
      <c r="H4" s="48" t="s">
        <v>55</v>
      </c>
      <c r="I4" s="32" t="s">
        <v>46</v>
      </c>
      <c r="J4" s="32" t="s">
        <v>58</v>
      </c>
      <c r="K4" s="32" t="s">
        <v>40</v>
      </c>
      <c r="L4" s="32" t="s">
        <v>51</v>
      </c>
      <c r="M4" s="48" t="s">
        <v>44</v>
      </c>
      <c r="N4" s="48" t="s">
        <v>53</v>
      </c>
      <c r="O4" s="48" t="s">
        <v>55</v>
      </c>
      <c r="P4" s="48" t="s">
        <v>46</v>
      </c>
      <c r="Q4" s="32" t="s">
        <v>58</v>
      </c>
      <c r="R4" s="32" t="s">
        <v>40</v>
      </c>
      <c r="S4" s="32" t="s">
        <v>51</v>
      </c>
      <c r="T4" s="32" t="s">
        <v>44</v>
      </c>
      <c r="U4" s="50" t="s">
        <v>53</v>
      </c>
      <c r="V4" s="48" t="s">
        <v>55</v>
      </c>
      <c r="W4" s="32" t="s">
        <v>46</v>
      </c>
      <c r="X4" s="32" t="s">
        <v>58</v>
      </c>
      <c r="Y4" s="32" t="s">
        <v>40</v>
      </c>
      <c r="Z4" s="32" t="s">
        <v>51</v>
      </c>
      <c r="AA4" s="32" t="s">
        <v>44</v>
      </c>
      <c r="AB4" s="50" t="s">
        <v>53</v>
      </c>
      <c r="AC4" s="48" t="s">
        <v>55</v>
      </c>
      <c r="AD4" s="32" t="s">
        <v>46</v>
      </c>
      <c r="AE4" s="32" t="s">
        <v>58</v>
      </c>
      <c r="AF4" s="32" t="s">
        <v>40</v>
      </c>
      <c r="AG4" s="32" t="s">
        <v>51</v>
      </c>
      <c r="AH4" s="32" t="s">
        <v>44</v>
      </c>
    </row>
    <row r="5" spans="1:34">
      <c r="A5" s="32" t="s">
        <v>57</v>
      </c>
      <c r="B5" s="32" t="s">
        <v>50</v>
      </c>
      <c r="C5" s="32"/>
      <c r="D5" s="40"/>
      <c r="E5" s="39" t="s">
        <v>61</v>
      </c>
      <c r="F5" s="39" t="s">
        <v>61</v>
      </c>
      <c r="G5" s="39" t="s">
        <v>61</v>
      </c>
      <c r="H5" s="39" t="s">
        <v>45</v>
      </c>
      <c r="I5" s="39" t="s">
        <v>80</v>
      </c>
      <c r="J5" s="39" t="s">
        <v>61</v>
      </c>
      <c r="K5" s="39" t="s">
        <v>61</v>
      </c>
      <c r="L5" s="39" t="s">
        <v>61</v>
      </c>
      <c r="M5" s="39" t="s">
        <v>61</v>
      </c>
      <c r="N5" s="39" t="s">
        <v>61</v>
      </c>
      <c r="O5" s="39" t="s">
        <v>61</v>
      </c>
      <c r="P5" s="39" t="s">
        <v>61</v>
      </c>
      <c r="Q5" s="39" t="s">
        <v>56</v>
      </c>
      <c r="R5" s="39" t="s">
        <v>61</v>
      </c>
      <c r="S5" s="39" t="s">
        <v>61</v>
      </c>
      <c r="T5" s="39" t="s">
        <v>45</v>
      </c>
      <c r="U5" s="39" t="s">
        <v>61</v>
      </c>
      <c r="V5" s="39" t="s">
        <v>61</v>
      </c>
      <c r="W5" s="39" t="s">
        <v>61</v>
      </c>
      <c r="X5" s="39" t="s">
        <v>61</v>
      </c>
      <c r="Y5" s="39" t="s">
        <v>61</v>
      </c>
      <c r="Z5" s="39" t="s">
        <v>61</v>
      </c>
      <c r="AA5" s="39" t="s">
        <v>61</v>
      </c>
      <c r="AB5" s="39" t="s">
        <v>61</v>
      </c>
      <c r="AC5" s="39" t="s">
        <v>61</v>
      </c>
      <c r="AD5" s="39" t="s">
        <v>61</v>
      </c>
      <c r="AE5" s="39" t="s">
        <v>61</v>
      </c>
      <c r="AF5" s="39" t="s">
        <v>61</v>
      </c>
      <c r="AG5" s="39" t="s">
        <v>56</v>
      </c>
      <c r="AH5" s="39" t="s">
        <v>61</v>
      </c>
    </row>
    <row r="6" spans="1:34" ht="33">
      <c r="A6" s="32"/>
      <c r="B6" s="32" t="s">
        <v>10</v>
      </c>
      <c r="C6" s="32"/>
      <c r="D6" s="26">
        <f>SUM(E6:AH6)</f>
        <v>10050</v>
      </c>
      <c r="E6" s="34">
        <v>400</v>
      </c>
      <c r="F6" s="34">
        <v>300</v>
      </c>
      <c r="G6" s="34">
        <v>400</v>
      </c>
      <c r="H6" s="34">
        <v>100</v>
      </c>
      <c r="I6" s="36">
        <v>50</v>
      </c>
      <c r="J6" s="34">
        <v>400</v>
      </c>
      <c r="K6" s="34">
        <v>300</v>
      </c>
      <c r="L6" s="34">
        <v>400</v>
      </c>
      <c r="M6" s="34">
        <v>200</v>
      </c>
      <c r="N6" s="34">
        <v>400</v>
      </c>
      <c r="O6" s="34">
        <v>300</v>
      </c>
      <c r="P6" s="34">
        <v>400</v>
      </c>
      <c r="Q6" s="29">
        <v>100</v>
      </c>
      <c r="R6" s="28">
        <v>100</v>
      </c>
      <c r="S6" s="28">
        <v>100</v>
      </c>
      <c r="T6" s="28">
        <v>100</v>
      </c>
      <c r="U6" s="34">
        <v>400</v>
      </c>
      <c r="V6" s="34">
        <v>300</v>
      </c>
      <c r="W6" s="34">
        <v>400</v>
      </c>
      <c r="X6" s="34">
        <v>400</v>
      </c>
      <c r="Y6" s="34">
        <v>300</v>
      </c>
      <c r="Z6" s="34">
        <v>400</v>
      </c>
      <c r="AA6" s="28">
        <v>500</v>
      </c>
      <c r="AB6" s="28">
        <v>500</v>
      </c>
      <c r="AC6" s="28">
        <v>500</v>
      </c>
      <c r="AD6" s="34">
        <v>400</v>
      </c>
      <c r="AE6" s="34">
        <v>400</v>
      </c>
      <c r="AF6" s="28">
        <v>500</v>
      </c>
      <c r="AG6" s="28">
        <v>500</v>
      </c>
      <c r="AH6" s="28">
        <v>500</v>
      </c>
    </row>
    <row r="7" spans="1:34" ht="33">
      <c r="A7" s="32"/>
      <c r="B7" s="32" t="s">
        <v>9</v>
      </c>
      <c r="C7" s="32"/>
      <c r="D7" s="26">
        <f>SUM(E7:AH7)</f>
        <v>106910</v>
      </c>
      <c r="E7" s="34">
        <v>1540</v>
      </c>
      <c r="F7" s="34">
        <v>4500</v>
      </c>
      <c r="G7" s="34">
        <v>5000</v>
      </c>
      <c r="H7" s="34">
        <v>2100</v>
      </c>
      <c r="I7" s="36">
        <v>1400</v>
      </c>
      <c r="J7" s="35">
        <v>2200</v>
      </c>
      <c r="K7" s="34">
        <v>2200</v>
      </c>
      <c r="L7" s="34">
        <v>3700</v>
      </c>
      <c r="M7" s="34">
        <v>3300</v>
      </c>
      <c r="N7" s="34">
        <v>4100</v>
      </c>
      <c r="O7" s="29">
        <v>4400</v>
      </c>
      <c r="P7" s="29">
        <v>5200</v>
      </c>
      <c r="Q7" s="29">
        <v>2200</v>
      </c>
      <c r="R7" s="28">
        <v>3500</v>
      </c>
      <c r="S7" s="28">
        <v>3320</v>
      </c>
      <c r="T7" s="28">
        <v>2500</v>
      </c>
      <c r="U7" s="28">
        <v>5500</v>
      </c>
      <c r="V7" s="29">
        <v>5000</v>
      </c>
      <c r="W7" s="28">
        <v>5000</v>
      </c>
      <c r="X7" s="28">
        <v>3950</v>
      </c>
      <c r="Y7" s="28">
        <v>3810</v>
      </c>
      <c r="Z7" s="28">
        <v>3500</v>
      </c>
      <c r="AA7" s="28">
        <v>3300</v>
      </c>
      <c r="AB7" s="28">
        <v>5150</v>
      </c>
      <c r="AC7" s="28">
        <v>6340</v>
      </c>
      <c r="AD7" s="28">
        <v>2200</v>
      </c>
      <c r="AE7" s="28">
        <v>2700</v>
      </c>
      <c r="AF7" s="28">
        <v>2500</v>
      </c>
      <c r="AG7" s="28">
        <v>2300</v>
      </c>
      <c r="AH7" s="28">
        <v>4500</v>
      </c>
    </row>
    <row r="8" spans="1:34" ht="33">
      <c r="A8" s="32"/>
      <c r="B8" s="32" t="s">
        <v>5</v>
      </c>
      <c r="C8" s="32"/>
      <c r="D8" s="26">
        <f>SUM(E8:AH8)</f>
        <v>107347</v>
      </c>
      <c r="E8" s="34">
        <v>3094</v>
      </c>
      <c r="F8" s="34">
        <v>3400</v>
      </c>
      <c r="G8" s="34">
        <v>4500</v>
      </c>
      <c r="H8" s="34">
        <v>2500</v>
      </c>
      <c r="I8" s="36">
        <v>1300</v>
      </c>
      <c r="J8" s="35">
        <v>2300</v>
      </c>
      <c r="K8" s="34">
        <v>2900</v>
      </c>
      <c r="L8" s="34">
        <v>3380</v>
      </c>
      <c r="M8" s="34">
        <v>4900</v>
      </c>
      <c r="N8" s="34">
        <v>5500</v>
      </c>
      <c r="O8" s="29">
        <v>5500</v>
      </c>
      <c r="P8" s="29">
        <v>6000</v>
      </c>
      <c r="Q8" s="29">
        <v>2300</v>
      </c>
      <c r="R8" s="28">
        <v>2758</v>
      </c>
      <c r="S8" s="28">
        <v>2400</v>
      </c>
      <c r="T8" s="28">
        <v>2800</v>
      </c>
      <c r="U8" s="28">
        <v>4200</v>
      </c>
      <c r="V8" s="29">
        <v>4000</v>
      </c>
      <c r="W8" s="28">
        <v>3400</v>
      </c>
      <c r="X8" s="28">
        <v>3460</v>
      </c>
      <c r="Y8" s="28">
        <v>3710</v>
      </c>
      <c r="Z8" s="28">
        <v>3000</v>
      </c>
      <c r="AA8" s="28">
        <v>4400</v>
      </c>
      <c r="AB8" s="28">
        <v>4245</v>
      </c>
      <c r="AC8" s="28">
        <v>5100</v>
      </c>
      <c r="AD8" s="28">
        <v>3300</v>
      </c>
      <c r="AE8" s="28">
        <v>3500</v>
      </c>
      <c r="AF8" s="28">
        <v>2000</v>
      </c>
      <c r="AG8" s="28">
        <v>3000</v>
      </c>
      <c r="AH8" s="28">
        <v>4500</v>
      </c>
    </row>
    <row r="9" spans="1:34">
      <c r="A9" s="32"/>
      <c r="B9" s="32" t="s">
        <v>28</v>
      </c>
      <c r="C9" s="32"/>
      <c r="D9" s="26">
        <f>SUM(E9:AH9)</f>
        <v>87015</v>
      </c>
      <c r="E9" s="34">
        <v>2720</v>
      </c>
      <c r="F9" s="34">
        <v>3300</v>
      </c>
      <c r="G9" s="34">
        <v>4000</v>
      </c>
      <c r="H9" s="34">
        <v>2000</v>
      </c>
      <c r="I9" s="36">
        <v>1000</v>
      </c>
      <c r="J9" s="35">
        <v>1200</v>
      </c>
      <c r="K9" s="34">
        <v>2500</v>
      </c>
      <c r="L9" s="34">
        <v>2100</v>
      </c>
      <c r="M9" s="34">
        <v>3000</v>
      </c>
      <c r="N9" s="34">
        <v>2100</v>
      </c>
      <c r="O9" s="29">
        <v>2200</v>
      </c>
      <c r="P9" s="29">
        <v>3070</v>
      </c>
      <c r="Q9" s="29">
        <v>2000</v>
      </c>
      <c r="R9" s="28">
        <v>2200</v>
      </c>
      <c r="S9" s="28">
        <v>2500</v>
      </c>
      <c r="T9" s="28">
        <v>2300</v>
      </c>
      <c r="U9" s="28">
        <v>4700</v>
      </c>
      <c r="V9" s="29">
        <v>5300</v>
      </c>
      <c r="W9" s="28">
        <v>3800</v>
      </c>
      <c r="X9" s="28">
        <v>3250</v>
      </c>
      <c r="Y9" s="28">
        <v>3685</v>
      </c>
      <c r="Z9" s="28">
        <v>3900</v>
      </c>
      <c r="AA9" s="28">
        <v>2300</v>
      </c>
      <c r="AB9" s="28">
        <v>4390</v>
      </c>
      <c r="AC9" s="28">
        <v>4200</v>
      </c>
      <c r="AD9" s="28">
        <v>2500</v>
      </c>
      <c r="AE9" s="28">
        <v>2100</v>
      </c>
      <c r="AF9" s="28">
        <v>2500</v>
      </c>
      <c r="AG9" s="28">
        <v>2200</v>
      </c>
      <c r="AH9" s="28">
        <v>4000</v>
      </c>
    </row>
    <row r="10" spans="1:34">
      <c r="A10" s="32"/>
      <c r="B10" s="32" t="s">
        <v>42</v>
      </c>
      <c r="C10" s="32"/>
      <c r="D10" s="26">
        <f>SUM(E10:AH10)</f>
        <v>0</v>
      </c>
      <c r="E10" s="34"/>
      <c r="F10" s="34"/>
      <c r="G10" s="34"/>
      <c r="H10" s="34"/>
      <c r="I10" s="36"/>
      <c r="J10" s="35"/>
      <c r="K10" s="34"/>
      <c r="L10" s="34"/>
      <c r="M10" s="34"/>
      <c r="N10" s="34"/>
      <c r="O10" s="29"/>
      <c r="P10" s="29"/>
      <c r="Q10" s="29"/>
      <c r="R10" s="28"/>
      <c r="S10" s="28"/>
      <c r="T10" s="28"/>
      <c r="U10" s="28"/>
      <c r="V10" s="29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 spans="1:34">
      <c r="A11" s="32"/>
      <c r="B11" s="32" t="s">
        <v>22</v>
      </c>
      <c r="C11" s="32"/>
      <c r="D11" s="26">
        <f>SUM(E11:AH11)</f>
        <v>0</v>
      </c>
      <c r="E11" s="34"/>
      <c r="F11" s="34"/>
      <c r="G11" s="34"/>
      <c r="H11" s="34"/>
      <c r="I11" s="36"/>
      <c r="J11" s="35"/>
      <c r="K11" s="34"/>
      <c r="L11" s="34"/>
      <c r="M11" s="34"/>
      <c r="N11" s="34"/>
      <c r="O11" s="29"/>
      <c r="P11" s="29"/>
      <c r="Q11" s="29"/>
      <c r="R11" s="28"/>
      <c r="S11" s="28"/>
      <c r="T11" s="28"/>
      <c r="U11" s="28"/>
      <c r="V11" s="29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 spans="1:34">
      <c r="A12" s="32"/>
      <c r="B12" s="32" t="s">
        <v>15</v>
      </c>
      <c r="C12" s="32"/>
      <c r="D12" s="26">
        <f>SUM(E12:AH12)</f>
        <v>0</v>
      </c>
      <c r="E12" s="34"/>
      <c r="F12" s="34"/>
      <c r="G12" s="34"/>
      <c r="H12" s="34"/>
      <c r="I12" s="36"/>
      <c r="J12" s="35"/>
      <c r="K12" s="34"/>
      <c r="L12" s="34"/>
      <c r="M12" s="34"/>
      <c r="N12" s="34"/>
      <c r="O12" s="29"/>
      <c r="P12" s="29"/>
      <c r="Q12" s="29"/>
      <c r="R12" s="28"/>
      <c r="S12" s="28"/>
      <c r="T12" s="28"/>
      <c r="U12" s="28"/>
      <c r="V12" s="29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ht="33">
      <c r="A13" s="32"/>
      <c r="B13" s="32" t="s">
        <v>18</v>
      </c>
      <c r="C13" s="32"/>
      <c r="D13" s="26">
        <f>SUM(E13:AH13)</f>
        <v>0</v>
      </c>
      <c r="E13" s="34"/>
      <c r="F13" s="34"/>
      <c r="G13" s="34"/>
      <c r="H13" s="34"/>
      <c r="I13" s="36"/>
      <c r="J13" s="35"/>
      <c r="K13" s="34"/>
      <c r="L13" s="34"/>
      <c r="M13" s="34"/>
      <c r="N13" s="34"/>
      <c r="O13" s="29"/>
      <c r="P13" s="29"/>
      <c r="Q13" s="29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ht="33">
      <c r="A14" s="32"/>
      <c r="B14" s="32" t="s">
        <v>6</v>
      </c>
      <c r="C14" s="32"/>
      <c r="D14" s="26">
        <f>SUM(E14:AH14)</f>
        <v>0</v>
      </c>
      <c r="E14" s="34"/>
      <c r="F14" s="34"/>
      <c r="G14" s="34"/>
      <c r="H14" s="34"/>
      <c r="I14" s="36"/>
      <c r="J14" s="35"/>
      <c r="K14" s="34"/>
      <c r="L14" s="34"/>
      <c r="M14" s="34"/>
      <c r="N14" s="34"/>
      <c r="O14" s="29"/>
      <c r="P14" s="29"/>
      <c r="Q14" s="29"/>
      <c r="R14" s="28"/>
      <c r="S14" s="28"/>
      <c r="T14" s="30"/>
      <c r="U14" s="28"/>
      <c r="V14" s="29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34">
      <c r="A15" s="32"/>
      <c r="B15" s="32" t="s">
        <v>52</v>
      </c>
      <c r="C15" s="32"/>
      <c r="D15" s="26">
        <f>SUM(E15:AH15)</f>
        <v>0</v>
      </c>
      <c r="E15" s="34"/>
      <c r="F15" s="34"/>
      <c r="G15" s="34"/>
      <c r="H15" s="34"/>
      <c r="I15" s="36"/>
      <c r="J15" s="35"/>
      <c r="K15" s="34"/>
      <c r="L15" s="34"/>
      <c r="M15" s="34"/>
      <c r="N15" s="34"/>
      <c r="O15" s="29"/>
      <c r="P15" s="29"/>
      <c r="Q15" s="29"/>
      <c r="R15" s="28"/>
      <c r="S15" s="28"/>
      <c r="T15" s="28"/>
      <c r="U15" s="28"/>
      <c r="V15" s="29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4">
      <c r="A16" s="32"/>
      <c r="B16" s="32" t="s">
        <v>62</v>
      </c>
      <c r="C16" s="32"/>
      <c r="D16" s="26">
        <f>SUM(E16:AH16)</f>
        <v>0</v>
      </c>
      <c r="E16" s="34"/>
      <c r="F16" s="34"/>
      <c r="G16" s="34"/>
      <c r="H16" s="34"/>
      <c r="I16" s="36"/>
      <c r="J16" s="35"/>
      <c r="K16" s="34"/>
      <c r="L16" s="34"/>
      <c r="M16" s="34"/>
      <c r="N16" s="34"/>
      <c r="O16" s="29"/>
      <c r="P16" s="29"/>
      <c r="Q16" s="29"/>
      <c r="R16" s="28"/>
      <c r="S16" s="28"/>
      <c r="T16" s="28"/>
      <c r="U16" s="28"/>
      <c r="V16" s="29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>
      <c r="A17" s="32"/>
      <c r="B17" s="32" t="s">
        <v>29</v>
      </c>
      <c r="C17" s="32"/>
      <c r="D17" s="26">
        <f>SUM(E17:AH17)</f>
        <v>0</v>
      </c>
      <c r="E17" s="34"/>
      <c r="F17" s="34"/>
      <c r="G17" s="34"/>
      <c r="H17" s="34"/>
      <c r="I17" s="36"/>
      <c r="J17" s="35"/>
      <c r="K17" s="34"/>
      <c r="L17" s="34"/>
      <c r="M17" s="38"/>
      <c r="N17" s="34"/>
      <c r="O17" s="29"/>
      <c r="P17" s="29"/>
      <c r="Q17" s="29"/>
      <c r="R17" s="28"/>
      <c r="S17" s="28"/>
      <c r="T17" s="37"/>
      <c r="U17" s="28"/>
      <c r="V17" s="29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</row>
    <row r="18" spans="1:34">
      <c r="A18" s="32"/>
      <c r="B18" s="32" t="s">
        <v>54</v>
      </c>
      <c r="C18" s="32"/>
      <c r="D18" s="26">
        <f>SUM(E18:AH18)</f>
        <v>62440</v>
      </c>
      <c r="E18" s="34">
        <v>2140</v>
      </c>
      <c r="F18" s="34">
        <v>2000</v>
      </c>
      <c r="G18" s="34">
        <v>2000</v>
      </c>
      <c r="H18" s="34">
        <v>600</v>
      </c>
      <c r="I18" s="36">
        <v>500</v>
      </c>
      <c r="J18" s="35">
        <v>1000</v>
      </c>
      <c r="K18" s="34">
        <v>1200</v>
      </c>
      <c r="L18" s="34">
        <v>1500</v>
      </c>
      <c r="M18" s="34">
        <v>3000</v>
      </c>
      <c r="N18" s="34">
        <v>2000</v>
      </c>
      <c r="O18" s="29">
        <v>3000</v>
      </c>
      <c r="P18" s="29">
        <v>2500</v>
      </c>
      <c r="Q18" s="29">
        <v>1000</v>
      </c>
      <c r="R18" s="28">
        <v>1500</v>
      </c>
      <c r="S18" s="28">
        <v>2100</v>
      </c>
      <c r="T18" s="28">
        <v>1000</v>
      </c>
      <c r="U18" s="28">
        <v>2300</v>
      </c>
      <c r="V18" s="29">
        <v>2900</v>
      </c>
      <c r="W18" s="28">
        <v>2000</v>
      </c>
      <c r="X18" s="28">
        <v>2500</v>
      </c>
      <c r="Y18" s="28">
        <v>2500</v>
      </c>
      <c r="Z18" s="28">
        <v>2200</v>
      </c>
      <c r="AA18" s="28">
        <v>2300</v>
      </c>
      <c r="AB18" s="28">
        <v>2900</v>
      </c>
      <c r="AC18" s="28">
        <v>3300</v>
      </c>
      <c r="AD18" s="28">
        <v>2000</v>
      </c>
      <c r="AE18" s="28">
        <v>3700</v>
      </c>
      <c r="AF18" s="28">
        <v>2000</v>
      </c>
      <c r="AG18" s="28">
        <v>2300</v>
      </c>
      <c r="AH18" s="28">
        <v>2500</v>
      </c>
    </row>
    <row r="19" spans="1:34">
      <c r="A19" s="32"/>
      <c r="B19" s="32" t="s">
        <v>43</v>
      </c>
      <c r="C19" s="32"/>
      <c r="D19" s="26">
        <f>SUM(E19:AH19)</f>
        <v>2070</v>
      </c>
      <c r="E19" s="34">
        <v>10</v>
      </c>
      <c r="F19" s="34">
        <v>10</v>
      </c>
      <c r="G19" s="34">
        <v>10</v>
      </c>
      <c r="H19" s="34">
        <v>5</v>
      </c>
      <c r="I19" s="36">
        <v>5</v>
      </c>
      <c r="J19" s="35">
        <v>50</v>
      </c>
      <c r="K19" s="34">
        <v>50</v>
      </c>
      <c r="L19" s="34">
        <v>50</v>
      </c>
      <c r="M19" s="34">
        <v>100</v>
      </c>
      <c r="N19" s="34">
        <v>100</v>
      </c>
      <c r="O19" s="34">
        <v>300</v>
      </c>
      <c r="P19" s="34">
        <v>250</v>
      </c>
      <c r="Q19" s="36">
        <v>50</v>
      </c>
      <c r="R19" s="35">
        <v>50</v>
      </c>
      <c r="S19" s="34">
        <v>50</v>
      </c>
      <c r="T19" s="34">
        <v>10</v>
      </c>
      <c r="U19" s="34">
        <v>10</v>
      </c>
      <c r="V19" s="34">
        <v>50</v>
      </c>
      <c r="W19" s="34">
        <v>50</v>
      </c>
      <c r="X19" s="36">
        <v>150</v>
      </c>
      <c r="Y19" s="35">
        <v>150</v>
      </c>
      <c r="Z19" s="34">
        <v>150</v>
      </c>
      <c r="AA19" s="34">
        <v>100</v>
      </c>
      <c r="AB19" s="34">
        <v>10</v>
      </c>
      <c r="AC19" s="34">
        <v>50</v>
      </c>
      <c r="AD19" s="34">
        <v>50</v>
      </c>
      <c r="AE19" s="34">
        <v>50</v>
      </c>
      <c r="AF19" s="36">
        <v>50</v>
      </c>
      <c r="AG19" s="35">
        <v>50</v>
      </c>
      <c r="AH19" s="34">
        <v>50</v>
      </c>
    </row>
    <row r="20" spans="1:34" ht="40.5">
      <c r="A20" s="32"/>
      <c r="B20" s="33" t="s">
        <v>12</v>
      </c>
      <c r="C20" s="32"/>
      <c r="D20" s="26">
        <f>SUM(E20:AH20)</f>
        <v>5320</v>
      </c>
      <c r="E20" s="34">
        <v>140</v>
      </c>
      <c r="F20" s="28">
        <v>200</v>
      </c>
      <c r="G20" s="28">
        <v>300</v>
      </c>
      <c r="H20" s="34">
        <v>50</v>
      </c>
      <c r="I20" s="36">
        <v>100</v>
      </c>
      <c r="J20" s="35">
        <v>100</v>
      </c>
      <c r="K20" s="34">
        <v>100</v>
      </c>
      <c r="L20" s="34">
        <v>160</v>
      </c>
      <c r="M20" s="28">
        <v>200</v>
      </c>
      <c r="N20" s="28">
        <v>300</v>
      </c>
      <c r="O20" s="28">
        <v>200</v>
      </c>
      <c r="P20" s="28">
        <v>300</v>
      </c>
      <c r="Q20" s="29">
        <v>100</v>
      </c>
      <c r="R20" s="28">
        <v>100</v>
      </c>
      <c r="S20" s="28">
        <v>200</v>
      </c>
      <c r="T20" s="28">
        <v>200</v>
      </c>
      <c r="U20" s="28">
        <v>200</v>
      </c>
      <c r="V20" s="28">
        <v>300</v>
      </c>
      <c r="W20" s="28">
        <v>190</v>
      </c>
      <c r="X20" s="28">
        <v>200</v>
      </c>
      <c r="Y20" s="28">
        <v>300</v>
      </c>
      <c r="Z20" s="28">
        <v>100</v>
      </c>
      <c r="AA20" s="28">
        <v>150</v>
      </c>
      <c r="AB20" s="28">
        <v>100</v>
      </c>
      <c r="AC20" s="28">
        <v>100</v>
      </c>
      <c r="AD20" s="28">
        <v>200</v>
      </c>
      <c r="AE20" s="28">
        <v>300</v>
      </c>
      <c r="AF20" s="28">
        <v>100</v>
      </c>
      <c r="AG20" s="28">
        <v>100</v>
      </c>
      <c r="AH20" s="28">
        <v>230</v>
      </c>
    </row>
    <row r="21" spans="1:34">
      <c r="A21" s="32"/>
      <c r="B21" s="32" t="s">
        <v>39</v>
      </c>
      <c r="C21" s="32"/>
      <c r="D21" s="26">
        <f>SUM(E21:AH21)</f>
        <v>2530</v>
      </c>
      <c r="E21" s="34">
        <v>10</v>
      </c>
      <c r="F21" s="34">
        <v>30</v>
      </c>
      <c r="G21" s="34">
        <v>20</v>
      </c>
      <c r="H21" s="34">
        <v>30</v>
      </c>
      <c r="I21" s="36">
        <v>70</v>
      </c>
      <c r="J21" s="35">
        <v>100</v>
      </c>
      <c r="K21" s="34">
        <v>50</v>
      </c>
      <c r="L21" s="34">
        <v>50</v>
      </c>
      <c r="M21" s="34">
        <v>50</v>
      </c>
      <c r="N21" s="34">
        <v>50</v>
      </c>
      <c r="O21" s="29">
        <v>100</v>
      </c>
      <c r="P21" s="29">
        <v>200</v>
      </c>
      <c r="Q21" s="29">
        <v>50</v>
      </c>
      <c r="R21" s="28">
        <v>90</v>
      </c>
      <c r="S21" s="28">
        <v>200</v>
      </c>
      <c r="T21" s="28">
        <v>150</v>
      </c>
      <c r="U21" s="28">
        <v>100</v>
      </c>
      <c r="V21" s="29">
        <v>50</v>
      </c>
      <c r="W21" s="28">
        <v>60</v>
      </c>
      <c r="X21" s="28">
        <v>150</v>
      </c>
      <c r="Y21" s="28">
        <v>200</v>
      </c>
      <c r="Z21" s="28">
        <v>100</v>
      </c>
      <c r="AA21" s="28">
        <v>100</v>
      </c>
      <c r="AB21" s="28">
        <v>50</v>
      </c>
      <c r="AC21" s="28">
        <v>60</v>
      </c>
      <c r="AD21" s="28">
        <v>100</v>
      </c>
      <c r="AE21" s="28">
        <v>200</v>
      </c>
      <c r="AF21" s="28">
        <v>50</v>
      </c>
      <c r="AG21" s="28">
        <v>50</v>
      </c>
      <c r="AH21" s="28">
        <v>10</v>
      </c>
    </row>
    <row r="22" spans="1:34">
      <c r="A22" s="32"/>
      <c r="B22" s="32" t="s">
        <v>59</v>
      </c>
      <c r="C22" s="32"/>
      <c r="D22" s="26">
        <f>SUM(E22:AH22)</f>
        <v>415</v>
      </c>
      <c r="E22" s="34">
        <v>5</v>
      </c>
      <c r="F22" s="34">
        <v>5</v>
      </c>
      <c r="G22" s="34">
        <v>5</v>
      </c>
      <c r="H22" s="34">
        <v>10</v>
      </c>
      <c r="I22" s="36">
        <v>10</v>
      </c>
      <c r="J22" s="35">
        <v>20</v>
      </c>
      <c r="K22" s="34">
        <v>10</v>
      </c>
      <c r="L22" s="34">
        <v>5</v>
      </c>
      <c r="M22" s="34">
        <v>5</v>
      </c>
      <c r="N22" s="34">
        <v>5</v>
      </c>
      <c r="O22" s="29">
        <v>20</v>
      </c>
      <c r="P22" s="29">
        <v>10</v>
      </c>
      <c r="Q22" s="29">
        <v>5</v>
      </c>
      <c r="R22" s="28">
        <v>30</v>
      </c>
      <c r="S22" s="28">
        <v>10</v>
      </c>
      <c r="T22" s="28">
        <v>10</v>
      </c>
      <c r="U22" s="28">
        <v>20</v>
      </c>
      <c r="V22" s="29">
        <v>5</v>
      </c>
      <c r="W22" s="28">
        <v>10</v>
      </c>
      <c r="X22" s="28">
        <v>50</v>
      </c>
      <c r="Y22" s="28">
        <v>50</v>
      </c>
      <c r="Z22" s="28">
        <v>5</v>
      </c>
      <c r="AA22" s="28">
        <v>10</v>
      </c>
      <c r="AB22" s="28">
        <v>5</v>
      </c>
      <c r="AC22" s="28">
        <v>10</v>
      </c>
      <c r="AD22" s="28">
        <v>20</v>
      </c>
      <c r="AE22" s="28">
        <v>50</v>
      </c>
      <c r="AF22" s="28">
        <v>5</v>
      </c>
      <c r="AG22" s="28">
        <v>5</v>
      </c>
      <c r="AH22" s="28">
        <v>5</v>
      </c>
    </row>
    <row r="23" spans="1:34" ht="27">
      <c r="A23" s="32"/>
      <c r="B23" s="33" t="s">
        <v>7</v>
      </c>
      <c r="C23" s="32"/>
      <c r="D23" s="26">
        <f>SUM(E23:AH23)</f>
        <v>0</v>
      </c>
      <c r="E23" s="28"/>
      <c r="F23" s="28"/>
      <c r="G23" s="28"/>
      <c r="H23" s="28"/>
      <c r="I23" s="30"/>
      <c r="J23" s="31"/>
      <c r="K23" s="28"/>
      <c r="L23" s="28"/>
      <c r="M23" s="28"/>
      <c r="N23" s="28"/>
      <c r="O23" s="29"/>
      <c r="P23" s="29"/>
      <c r="Q23" s="29"/>
      <c r="R23" s="28"/>
      <c r="S23" s="30"/>
      <c r="T23" s="28"/>
      <c r="U23" s="28"/>
      <c r="V23" s="29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>
      <c r="A24" s="27" t="s">
        <v>63</v>
      </c>
      <c r="B24" s="27"/>
      <c r="C24" s="27"/>
      <c r="D24" s="26">
        <f>SUM(D6:D23)</f>
        <v>384097</v>
      </c>
      <c r="E24" s="26">
        <f>SUM(E6:E23)</f>
        <v>10059</v>
      </c>
      <c r="F24" s="26">
        <f>SUM(F6:F23)</f>
        <v>13745</v>
      </c>
      <c r="G24" s="26">
        <f>SUM(G6:G23)</f>
        <v>16235</v>
      </c>
      <c r="H24" s="26">
        <f>SUM(H6:H23)</f>
        <v>7395</v>
      </c>
      <c r="I24" s="26">
        <f>SUM(I6:I23)</f>
        <v>4435</v>
      </c>
      <c r="J24" s="26">
        <f>SUM(J6:J23)</f>
        <v>7370</v>
      </c>
      <c r="K24" s="26">
        <f>SUM(K6:K23)</f>
        <v>9310</v>
      </c>
      <c r="L24" s="26">
        <f>SUM(L6:L23)</f>
        <v>11345</v>
      </c>
      <c r="M24" s="26">
        <f>SUM(M6:M23)</f>
        <v>14755</v>
      </c>
      <c r="N24" s="26">
        <f>SUM(N6:N23)</f>
        <v>14555</v>
      </c>
      <c r="O24" s="26">
        <f>SUM(O6:O23)</f>
        <v>16020</v>
      </c>
      <c r="P24" s="26">
        <f>SUM(P6:P23)</f>
        <v>17930</v>
      </c>
      <c r="Q24" s="26">
        <f>SUM(Q6:Q23)</f>
        <v>7805</v>
      </c>
      <c r="R24" s="26">
        <f>SUM(R6:R23)</f>
        <v>10328</v>
      </c>
      <c r="S24" s="26">
        <f>SUM(S6:S23)</f>
        <v>10880</v>
      </c>
      <c r="T24" s="26">
        <f>SUM(T6:T23)</f>
        <v>9070</v>
      </c>
      <c r="U24" s="26">
        <f>SUM(U6:U23)</f>
        <v>17430</v>
      </c>
      <c r="V24" s="26">
        <f>SUM(V6:V23)</f>
        <v>17905</v>
      </c>
      <c r="W24" s="26">
        <f>SUM(W6:W23)</f>
        <v>14910</v>
      </c>
      <c r="X24" s="26">
        <f>SUM(X6:X23)</f>
        <v>14110</v>
      </c>
      <c r="Y24" s="26">
        <f>SUM(Y6:Y23)</f>
        <v>14705</v>
      </c>
      <c r="Z24" s="26">
        <f>SUM(Z6:Z23)</f>
        <v>13355</v>
      </c>
      <c r="AA24" s="26">
        <f>SUM(AA6:AA23)</f>
        <v>13160</v>
      </c>
      <c r="AB24" s="26">
        <f>SUM(AB6:AB23)</f>
        <v>17350</v>
      </c>
      <c r="AC24" s="26">
        <f>SUM(AC6:AC23)</f>
        <v>19660</v>
      </c>
      <c r="AD24" s="26">
        <f>SUM(AD6:AD23)</f>
        <v>10770</v>
      </c>
      <c r="AE24" s="26">
        <f>SUM(AE6:AE23)</f>
        <v>13000</v>
      </c>
      <c r="AF24" s="26">
        <f>SUM(AF6:AF23)</f>
        <v>9705</v>
      </c>
      <c r="AG24" s="26">
        <f>SUM(AG6:AG23)</f>
        <v>10505</v>
      </c>
      <c r="AH24" s="26">
        <f>SUM(AH6:AH23)</f>
        <v>16295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17547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</dc:creator>
  <cp:lastModifiedBy>user</cp:lastModifiedBy>
  <cp:revision>724</cp:revision>
  <dcterms:created xsi:type="dcterms:W3CDTF">2018-02-01T01:59:46Z</dcterms:created>
  <dcterms:modified xsi:type="dcterms:W3CDTF">2023-06-12T04:32:19Z</dcterms:modified>
  <cp:version>0906.0100.01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eyJub2RlMSI6eyJkc2QiOiIwMTAwMDAwMDAwMDAyMTIyIiwibG9nVGltZSI6IjIwMjMtMDYtMTJUMDQ6MjU6MjdaIiwicElEIjoiMiIsInRyYWNlSWQiOiIzNEU1RTJFNDE3QUNGODFBQjEyRTA1QUMwOEE5NUI3NiIsInVzZXJDb2RlIjoibWFsczExMjgifSwibm9kZTIiOnsiZHNkIjoiMDEwMDAwMDAwMDAwMjEyMiIsImxvZ1RpbWUiOiI</vt:lpwstr>
  </property>
  <property fmtid="{D5CDD505-2E9C-101B-9397-08002B2CF9AE}" pid="3" name="OpenDocument">
    <vt:lpwstr>False</vt:lpwstr>
  </property>
</Properties>
</file>