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ewf\github_projects\nab_nai_files\documentation\"/>
    </mc:Choice>
  </mc:AlternateContent>
  <xr:revisionPtr revIDLastSave="0" documentId="13_ncr:1_{B5E75C76-5DF7-4A71-8168-9820DCF0FD7C}" xr6:coauthVersionLast="47" xr6:coauthVersionMax="47" xr10:uidLastSave="{00000000-0000-0000-0000-000000000000}"/>
  <bookViews>
    <workbookView xWindow="-28920" yWindow="-120" windowWidth="29040" windowHeight="15720" xr2:uid="{B1AE03A2-7508-4BC6-B5A4-284C1FDCEB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7" i="2" l="1"/>
  <c r="D177" i="2"/>
  <c r="C175" i="2"/>
  <c r="C176" i="2" s="1"/>
  <c r="C173" i="2"/>
  <c r="H174" i="2"/>
  <c r="AF173" i="2"/>
  <c r="AF174" i="2" s="1"/>
  <c r="AE173" i="2"/>
  <c r="AD173" i="2"/>
  <c r="AD174" i="2" s="1"/>
  <c r="AC173" i="2"/>
  <c r="AB173" i="2"/>
  <c r="AB174" i="2" s="1"/>
  <c r="AA173" i="2"/>
  <c r="Z173" i="2"/>
  <c r="Z174" i="2" s="1"/>
  <c r="Y173" i="2"/>
  <c r="X173" i="2"/>
  <c r="X174" i="2" s="1"/>
  <c r="W173" i="2"/>
  <c r="V173" i="2"/>
  <c r="V174" i="2" s="1"/>
  <c r="U173" i="2"/>
  <c r="T173" i="2"/>
  <c r="T174" i="2" s="1"/>
  <c r="S173" i="2"/>
  <c r="R173" i="2"/>
  <c r="R174" i="2" s="1"/>
  <c r="Q173" i="2"/>
  <c r="P173" i="2"/>
  <c r="P174" i="2" s="1"/>
  <c r="O173" i="2"/>
  <c r="N173" i="2"/>
  <c r="N174" i="2" s="1"/>
  <c r="M173" i="2"/>
  <c r="L173" i="2"/>
  <c r="L174" i="2" s="1"/>
  <c r="K173" i="2"/>
  <c r="J173" i="2"/>
  <c r="J174" i="2" s="1"/>
  <c r="I173" i="2"/>
  <c r="H173" i="2"/>
  <c r="G173" i="2"/>
  <c r="E173" i="2"/>
  <c r="F173" i="2"/>
  <c r="F174" i="2" s="1"/>
  <c r="C67" i="2"/>
  <c r="B68" i="2" s="1"/>
  <c r="G11" i="2" a="1"/>
  <c r="G11" i="2" s="1"/>
  <c r="K30" i="2" a="1"/>
  <c r="K30" i="2" s="1"/>
  <c r="G59" i="2"/>
  <c r="H59" i="2" s="1"/>
  <c r="G58" i="2"/>
  <c r="H58" i="2" s="1"/>
  <c r="G57" i="2"/>
  <c r="H57" i="2" s="1"/>
  <c r="G56" i="2"/>
  <c r="H56" i="2" s="1"/>
  <c r="F46" i="2"/>
  <c r="K27" i="2" s="1"/>
  <c r="E46" i="2"/>
  <c r="I11" i="2"/>
  <c r="J10" i="2"/>
  <c r="I10" i="2"/>
  <c r="J25" i="2"/>
  <c r="H25" i="2"/>
  <c r="G25" i="2"/>
  <c r="F25" i="2"/>
  <c r="K25" i="2"/>
  <c r="I25" i="2"/>
  <c r="M25" i="2"/>
  <c r="L25" i="2"/>
  <c r="M21" i="2"/>
  <c r="M22" i="2"/>
  <c r="M23" i="2"/>
  <c r="M24" i="2"/>
  <c r="N21" i="2"/>
  <c r="N22" i="2"/>
  <c r="N23" i="2"/>
  <c r="N24" i="2"/>
  <c r="F51" i="2"/>
  <c r="M10" i="2" s="1"/>
  <c r="N49" i="1"/>
  <c r="N47" i="1"/>
  <c r="N45" i="1"/>
  <c r="N44" i="1"/>
  <c r="N43" i="1"/>
  <c r="N42" i="1"/>
  <c r="M45" i="1"/>
  <c r="M44" i="1"/>
  <c r="M43" i="1"/>
  <c r="M42" i="1"/>
  <c r="L45" i="1"/>
  <c r="L44" i="1"/>
  <c r="L43" i="1"/>
  <c r="L42" i="1"/>
  <c r="K45" i="1"/>
  <c r="K44" i="1"/>
  <c r="K43" i="1"/>
  <c r="K42" i="1"/>
  <c r="J45" i="1"/>
  <c r="J44" i="1"/>
  <c r="J43" i="1"/>
  <c r="J42" i="1"/>
  <c r="H45" i="1"/>
  <c r="G45" i="1" s="1"/>
  <c r="H44" i="1"/>
  <c r="G44" i="1" s="1"/>
  <c r="H43" i="1"/>
  <c r="G43" i="1" s="1"/>
  <c r="H42" i="1"/>
  <c r="G42" i="1" s="1"/>
  <c r="L17" i="1"/>
  <c r="K17" i="1"/>
  <c r="J9" i="1"/>
  <c r="I9" i="1"/>
  <c r="F49" i="2"/>
  <c r="S24" i="2"/>
  <c r="S23" i="2"/>
  <c r="S22" i="2"/>
  <c r="S21" i="2"/>
  <c r="D173" i="2" l="1"/>
  <c r="D174" i="2"/>
  <c r="K29" i="2"/>
  <c r="J30" i="2"/>
  <c r="D67" i="2"/>
  <c r="E67" i="2" s="1"/>
  <c r="N25" i="2"/>
  <c r="C68" i="2"/>
  <c r="D68" i="2" s="1"/>
  <c r="I58" i="2"/>
  <c r="J58" i="2" s="1"/>
  <c r="I59" i="2"/>
  <c r="J59" i="2" s="1"/>
  <c r="I56" i="2"/>
  <c r="J56" i="2" s="1"/>
  <c r="I57" i="2"/>
  <c r="J57" i="2" s="1"/>
  <c r="L10" i="2"/>
  <c r="K18" i="2"/>
  <c r="R23" i="2"/>
  <c r="R24" i="2" s="1"/>
  <c r="M18" i="2"/>
  <c r="O24" i="2"/>
  <c r="P24" i="2" s="1"/>
  <c r="O21" i="2"/>
  <c r="O22" i="2"/>
  <c r="P22" i="2" s="1"/>
  <c r="O23" i="2"/>
  <c r="S19" i="2"/>
  <c r="B69" i="2" l="1"/>
  <c r="C69" i="2" s="1"/>
  <c r="B70" i="2" s="1"/>
  <c r="C70" i="2" s="1"/>
  <c r="B71" i="2" s="1"/>
  <c r="E68" i="2"/>
  <c r="J61" i="2"/>
  <c r="P21" i="2"/>
  <c r="O25" i="2"/>
  <c r="P23" i="2"/>
  <c r="D69" i="2" l="1"/>
  <c r="C71" i="2"/>
  <c r="B72" i="2" s="1"/>
  <c r="D70" i="2"/>
  <c r="E70" i="2" l="1"/>
  <c r="E69" i="2"/>
  <c r="C72" i="2"/>
  <c r="D72" i="2" s="1"/>
  <c r="D71" i="2"/>
  <c r="E72" i="2" l="1"/>
  <c r="E71" i="2"/>
  <c r="B73" i="2"/>
  <c r="C73" i="2" l="1"/>
  <c r="B74" i="2" s="1"/>
  <c r="C74" i="2" l="1"/>
  <c r="D74" i="2" s="1"/>
  <c r="D73" i="2"/>
  <c r="E74" i="2" l="1"/>
  <c r="E73" i="2"/>
  <c r="B75" i="2"/>
  <c r="C75" i="2" l="1"/>
  <c r="B76" i="2" s="1"/>
  <c r="D75" i="2" l="1"/>
  <c r="E75" i="2" s="1"/>
  <c r="C76" i="2"/>
  <c r="B77" i="2" s="1"/>
  <c r="C77" i="2" l="1"/>
  <c r="B78" i="2" s="1"/>
  <c r="D76" i="2"/>
  <c r="D77" i="2" l="1"/>
  <c r="E77" i="2" s="1"/>
  <c r="E76" i="2"/>
  <c r="C78" i="2"/>
  <c r="B79" i="2" s="1"/>
  <c r="C79" i="2" l="1"/>
  <c r="D79" i="2" s="1"/>
  <c r="D78" i="2"/>
  <c r="E79" i="2" l="1"/>
  <c r="E78" i="2"/>
  <c r="B80" i="2"/>
  <c r="C80" i="2" l="1"/>
  <c r="D80" i="2" s="1"/>
  <c r="B81" i="2" l="1"/>
  <c r="C81" i="2" s="1"/>
  <c r="B82" i="2" s="1"/>
  <c r="E80" i="2"/>
  <c r="C82" i="2" l="1"/>
  <c r="D82" i="2" s="1"/>
  <c r="D81" i="2"/>
  <c r="B83" i="2" l="1"/>
  <c r="E82" i="2"/>
  <c r="E81" i="2"/>
  <c r="C83" i="2"/>
  <c r="B84" i="2" s="1"/>
  <c r="C84" i="2" l="1"/>
  <c r="B85" i="2" s="1"/>
  <c r="D83" i="2"/>
  <c r="E83" i="2" l="1"/>
  <c r="C85" i="2"/>
  <c r="B86" i="2" s="1"/>
  <c r="D84" i="2"/>
  <c r="D85" i="2" l="1"/>
  <c r="E85" i="2" s="1"/>
  <c r="E84" i="2"/>
  <c r="C86" i="2"/>
  <c r="B87" i="2" s="1"/>
  <c r="D86" i="2" l="1"/>
  <c r="E86" i="2" s="1"/>
  <c r="C87" i="2"/>
  <c r="B88" i="2" s="1"/>
  <c r="C88" i="2" l="1"/>
  <c r="D88" i="2" s="1"/>
  <c r="D87" i="2"/>
  <c r="B89" i="2" l="1"/>
  <c r="E88" i="2"/>
  <c r="E87" i="2"/>
  <c r="C89" i="2"/>
  <c r="B90" i="2" s="1"/>
  <c r="D89" i="2" l="1"/>
  <c r="E89" i="2"/>
  <c r="C90" i="2"/>
  <c r="D90" i="2" s="1"/>
  <c r="E90" i="2" l="1"/>
  <c r="B91" i="2"/>
  <c r="C91" i="2" l="1"/>
  <c r="B92" i="2" s="1"/>
  <c r="D91" i="2" l="1"/>
  <c r="C92" i="2"/>
  <c r="B93" i="2" s="1"/>
  <c r="E91" i="2" l="1"/>
  <c r="C93" i="2"/>
  <c r="B94" i="2" s="1"/>
  <c r="D92" i="2"/>
  <c r="D93" i="2" l="1"/>
  <c r="E93" i="2" s="1"/>
  <c r="E92" i="2"/>
  <c r="C94" i="2"/>
  <c r="B95" i="2" s="1"/>
  <c r="C95" i="2" l="1"/>
  <c r="D95" i="2" s="1"/>
  <c r="D94" i="2"/>
  <c r="E95" i="2" l="1"/>
  <c r="E94" i="2"/>
  <c r="B96" i="2"/>
  <c r="C96" i="2" l="1"/>
  <c r="D96" i="2" s="1"/>
  <c r="B97" i="2" l="1"/>
  <c r="E96" i="2"/>
  <c r="C97" i="2"/>
  <c r="D97" i="2" s="1"/>
  <c r="B98" i="2" l="1"/>
  <c r="C98" i="2" s="1"/>
  <c r="D98" i="2" s="1"/>
  <c r="E98" i="2" s="1"/>
  <c r="E9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<sst xmlns="http://schemas.openxmlformats.org/spreadsheetml/2006/main" count="614" uniqueCount="181">
  <si>
    <t>file_metadata_id</t>
  </si>
  <si>
    <t>group_id</t>
  </si>
  <si>
    <t>commercial_account_number</t>
  </si>
  <si>
    <t>currency_code</t>
  </si>
  <si>
    <t>closing_balance</t>
  </si>
  <si>
    <t>total_credits</t>
  </si>
  <si>
    <t>number_of_credit_transactions</t>
  </si>
  <si>
    <t>total_debits</t>
  </si>
  <si>
    <t>number_of_debit_transactions</t>
  </si>
  <si>
    <t>account_control_total_a</t>
  </si>
  <si>
    <t>account_control_total_b</t>
  </si>
  <si>
    <t>20120725_0400_1_20250208-222445</t>
  </si>
  <si>
    <t>BNZA_NATAAU3M_1_20120724_0000</t>
  </si>
  <si>
    <t>AUD</t>
  </si>
  <si>
    <t>transaction_code</t>
  </si>
  <si>
    <t>amount</t>
  </si>
  <si>
    <t>funds_type</t>
  </si>
  <si>
    <t>reference_number</t>
  </si>
  <si>
    <t>text</t>
  </si>
  <si>
    <t>dr_cr</t>
  </si>
  <si>
    <t>transaction_description</t>
  </si>
  <si>
    <t>statement_particulars</t>
  </si>
  <si>
    <t>000000000163</t>
  </si>
  <si>
    <t>CR</t>
  </si>
  <si>
    <t>Agent Credits</t>
  </si>
  <si>
    <t>Agent number advised</t>
  </si>
  <si>
    <t>CASH651350140</t>
  </si>
  <si>
    <t>Cash</t>
  </si>
  <si>
    <t>000000333666</t>
  </si>
  <si>
    <t>CASH602320778 000333666</t>
  </si>
  <si>
    <t>ABC DEF</t>
  </si>
  <si>
    <t>EFTPOS</t>
  </si>
  <si>
    <t>Merchant name</t>
  </si>
  <si>
    <t>0005607</t>
  </si>
  <si>
    <t>DR</t>
  </si>
  <si>
    <t>Cheques (paid)</t>
  </si>
  <si>
    <t>All serial numbers</t>
  </si>
  <si>
    <t>0005712</t>
  </si>
  <si>
    <t>0005820</t>
  </si>
  <si>
    <t>0005924</t>
  </si>
  <si>
    <t>0005956</t>
  </si>
  <si>
    <t>0005968</t>
  </si>
  <si>
    <t>0006100</t>
  </si>
  <si>
    <t>AP8YA0436912      GEDFH            083310</t>
  </si>
  <si>
    <t>Automatic drawings</t>
  </si>
  <si>
    <t>Company's name (abbreviated)</t>
  </si>
  <si>
    <t>Transactions</t>
  </si>
  <si>
    <t>Accounts</t>
  </si>
  <si>
    <t>sender_identification</t>
  </si>
  <si>
    <t>receiver_identification</t>
  </si>
  <si>
    <t>creation_date</t>
  </si>
  <si>
    <t>creation_time</t>
  </si>
  <si>
    <t>sequence_number</t>
  </si>
  <si>
    <t>file_control_total_a</t>
  </si>
  <si>
    <t>number_of_groups</t>
  </si>
  <si>
    <t>number_of_records</t>
  </si>
  <si>
    <t>file_control_total_b</t>
  </si>
  <si>
    <t>20120725_0400_1_20250208-222825</t>
  </si>
  <si>
    <t>BNZA</t>
  </si>
  <si>
    <t>ultimate_receiver_id</t>
  </si>
  <si>
    <t>originator_id</t>
  </si>
  <si>
    <t>group_status</t>
  </si>
  <si>
    <t>as_of_date</t>
  </si>
  <si>
    <t>as_of_time</t>
  </si>
  <si>
    <t>group_control_total_a</t>
  </si>
  <si>
    <t>group_control_total_b</t>
  </si>
  <si>
    <t>NATAAU3M</t>
  </si>
  <si>
    <t>0000</t>
  </si>
  <si>
    <t>Group</t>
  </si>
  <si>
    <t>Metadata</t>
  </si>
  <si>
    <t>Column1</t>
  </si>
  <si>
    <t xml:space="preserve">49,-13467,-13467/                                                               </t>
  </si>
  <si>
    <t xml:space="preserve">49,1989,1989/                                                                   </t>
  </si>
  <si>
    <t xml:space="preserve">49,10783011,10783011/                                                           </t>
  </si>
  <si>
    <t xml:space="preserve">49,2805,2805/ </t>
  </si>
  <si>
    <t>Column2</t>
  </si>
  <si>
    <t>This df</t>
  </si>
  <si>
    <t>Check</t>
  </si>
  <si>
    <t>Check, check</t>
  </si>
  <si>
    <t>Total</t>
  </si>
  <si>
    <t xml:space="preserve">49,2805,2805/                                                                   </t>
  </si>
  <si>
    <t>99,211695158,1,188,211691657</t>
  </si>
  <si>
    <t>03</t>
  </si>
  <si>
    <t>553686978</t>
  </si>
  <si>
    <t>015</t>
  </si>
  <si>
    <t>2310405</t>
  </si>
  <si>
    <t>100</t>
  </si>
  <si>
    <t>64598</t>
  </si>
  <si>
    <t>102</t>
  </si>
  <si>
    <t>400</t>
  </si>
  <si>
    <t>4171255</t>
  </si>
  <si>
    <t>402</t>
  </si>
  <si>
    <t>800</t>
  </si>
  <si>
    <t>500</t>
  </si>
  <si>
    <t>000</t>
  </si>
  <si>
    <t>501</t>
  </si>
  <si>
    <t>502</t>
  </si>
  <si>
    <t>503</t>
  </si>
  <si>
    <t>965</t>
  </si>
  <si>
    <t>966</t>
  </si>
  <si>
    <t>967</t>
  </si>
  <si>
    <t>968</t>
  </si>
  <si>
    <t>969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</si>
  <si>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</si>
  <si>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</si>
  <si>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</si>
  <si>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</si>
  <si>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</si>
  <si>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</si>
  <si>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</si>
  <si>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</si>
  <si>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</si>
  <si>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</si>
  <si>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</si>
  <si>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</si>
  <si>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</si>
  <si>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</si>
  <si>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</si>
  <si>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</si>
  <si>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</si>
  <si>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</si>
  <si>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</si>
  <si>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</si>
  <si>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</si>
  <si>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</si>
  <si>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</si>
  <si>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</si>
  <si>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</si>
  <si>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</si>
  <si>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</si>
  <si>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</si>
  <si>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</si>
  <si>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01</t>
  </si>
  <si>
    <t/>
  </si>
  <si>
    <t>120725</t>
  </si>
  <si>
    <t>0400</t>
  </si>
  <si>
    <t>1</t>
  </si>
  <si>
    <t>78</t>
  </si>
  <si>
    <t>02</t>
  </si>
  <si>
    <t>120724</t>
  </si>
  <si>
    <t>594481027</t>
  </si>
  <si>
    <t>13467-</t>
  </si>
  <si>
    <t>49</t>
  </si>
  <si>
    <t>-13467</t>
  </si>
  <si>
    <t>823840968</t>
  </si>
  <si>
    <t>1989</t>
  </si>
  <si>
    <t>16</t>
  </si>
  <si>
    <t>915</t>
  </si>
  <si>
    <t>550400</t>
  </si>
  <si>
    <t>0</t>
  </si>
  <si>
    <t>910</t>
  </si>
  <si>
    <t>588500</t>
  </si>
  <si>
    <t>CASH</t>
  </si>
  <si>
    <t>651350140</t>
  </si>
  <si>
    <t>3000000</t>
  </si>
  <si>
    <t>602320778 000333666</t>
  </si>
  <si>
    <t>936</t>
  </si>
  <si>
    <t>475</t>
  </si>
  <si>
    <t>70050</t>
  </si>
  <si>
    <t>22410</t>
  </si>
  <si>
    <t>22650</t>
  </si>
  <si>
    <t>210620</t>
  </si>
  <si>
    <t>379200</t>
  </si>
  <si>
    <t>61915</t>
  </si>
  <si>
    <t>3300000</t>
  </si>
  <si>
    <t>104410</t>
  </si>
  <si>
    <t>10783011</t>
  </si>
  <si>
    <t>857862896</t>
  </si>
  <si>
    <t>2805</t>
  </si>
  <si>
    <t>98</t>
  </si>
  <si>
    <t>211695158</t>
  </si>
  <si>
    <t>23</t>
  </si>
  <si>
    <t>211691657</t>
  </si>
  <si>
    <t>99</t>
  </si>
  <si>
    <t>188</t>
  </si>
  <si>
    <t>Raw data split into table</t>
  </si>
  <si>
    <t>Raw data in table as values</t>
  </si>
  <si>
    <t>File</t>
  </si>
  <si>
    <t>Account</t>
  </si>
  <si>
    <t>CASH 651350140</t>
  </si>
  <si>
    <t>CASH 602320778 000333666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</si>
</sst>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44" fontId="0" fillId="2" borderId="0" xfId="1" applyFont="1" applyFill="1"/>
    <xf numFmtId="44" fontId="0" fillId="0" borderId="0" xfId="1" applyFont="1"/>
    <xf numFmtId="44" fontId="0" fillId="0" borderId="0" xfId="0" applyNumberFormat="1"/>
    <xf numFmtId="44" fontId="0" fillId="3" borderId="0" xfId="1" applyFont="1" applyFill="1"/>
    <xf numFmtId="44" fontId="2" fillId="0" borderId="0" xfId="0" applyNumberFormat="1" applyFont="1"/>
    <xf numFmtId="8" fontId="0" fillId="0" borderId="0" xfId="0" applyNumberFormat="1"/>
    <xf numFmtId="44" fontId="0" fillId="0" borderId="0" xfId="1" applyFont="1" applyFill="1"/>
    <xf numFmtId="44" fontId="0" fillId="2" borderId="1" xfId="1" applyFont="1" applyFill="1" applyBorder="1"/>
    <xf numFmtId="0" fontId="4" fillId="0" borderId="0" xfId="0" applyFont="1" applyAlignment="1">
      <alignment vertical="center"/>
    </xf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44" fontId="0" fillId="0" borderId="3" xfId="1" applyFont="1" applyBorder="1"/>
    <xf numFmtId="3" fontId="4" fillId="0" borderId="0" xfId="0" quotePrefix="1" applyNumberFormat="1" applyFont="1"/>
    <xf numFmtId="0" fontId="0" fillId="2" borderId="2" xfId="0" applyFill="1" applyBorder="1"/>
    <xf numFmtId="0" fontId="3" fillId="4" borderId="0" xfId="0" applyFont="1" applyFill="1"/>
    <xf numFmtId="0" fontId="3" fillId="5" borderId="0" xfId="0" applyFont="1" applyFill="1"/>
    <xf numFmtId="0" fontId="0" fillId="3" borderId="2" xfId="0" applyFill="1" applyBorder="1"/>
    <xf numFmtId="0" fontId="0" fillId="6" borderId="2" xfId="0" applyFill="1" applyBorder="1"/>
    <xf numFmtId="0" fontId="3" fillId="6" borderId="2" xfId="0" applyFont="1" applyFill="1" applyBorder="1"/>
  </cellXfs>
  <cellStyles count="2">
    <cellStyle name="Currency" xfId="1" builtinId="4"/>
    <cellStyle name="Normal" xfId="0" builtinId="0"/>
  </cellStyles>
  <dxfs count="8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A1E89-7ECD-47D9-A03B-80360C17E7AC}" name="Table1" displayName="Table1" ref="A33:L46" totalsRowCount="1">
  <autoFilter ref="A33:L45" xr:uid="{759A1E89-7ECD-47D9-A03B-80360C17E7AC}"/>
  <tableColumns count="12">
    <tableColumn id="1" xr3:uid="{C982CD9B-4794-4E26-8EC8-3641ECB57D3D}" name="Column1" totalsRowLabel="Total"/>
    <tableColumn id="2" xr3:uid="{584922B9-184A-4907-AADA-A6ED02CC3126}" name="file_metadata_id"/>
    <tableColumn id="3" xr3:uid="{D14CB84B-DC77-4D93-9592-BA4EB53B572A}" name="group_id"/>
    <tableColumn id="4" xr3:uid="{C634F841-978B-489F-957D-D7914479C7BE}" name="commercial_account_number"/>
    <tableColumn id="5" xr3:uid="{1C9BA1F5-AA26-43EC-8776-C4AD16ECFB6C}" name="transaction_code" totalsRowFunction="sum"/>
    <tableColumn id="6" xr3:uid="{0AD10972-37FA-49C5-BF39-50C92149B3EF}" name="amount" totalsRowFunction="sum" totalsRowDxfId="85" dataCellStyle="Currency"/>
    <tableColumn id="7" xr3:uid="{5B18B15F-59B3-4BF3-97FD-8D376C3688BB}" name="funds_type"/>
    <tableColumn id="8" xr3:uid="{59AC855F-B462-475E-B6AC-EA17328721EB}" name="reference_number"/>
    <tableColumn id="9" xr3:uid="{26083C9C-D03E-4C0B-A5E6-16B51CB937C3}" name="text"/>
    <tableColumn id="10" xr3:uid="{F58585D1-33A9-42F7-99DE-6F41729809D9}" name="dr_cr"/>
    <tableColumn id="11" xr3:uid="{737E5663-B2B4-4440-A072-BA549539F7D5}" name="transaction_description"/>
    <tableColumn id="12" xr3:uid="{DBA8850A-E7D6-4B02-8C52-6304C87C3D16}" name="statement_particula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3D9A4-785F-4D58-8864-3F00A3447EF8}" name="Table2" displayName="Table2" ref="A20:P25" totalsRowCount="1">
  <autoFilter ref="A20:P24" xr:uid="{2DD3D9A4-785F-4D58-8864-3F00A3447EF8}"/>
  <tableColumns count="16">
    <tableColumn id="1" xr3:uid="{A4641678-1F5C-461F-B148-97B372378FB1}" name="Column1" totalsRowLabel="Total"/>
    <tableColumn id="2" xr3:uid="{26CD5C19-9B5B-47DA-9A0E-6CBBDAF06D77}" name="file_metadata_id"/>
    <tableColumn id="3" xr3:uid="{1E9EB9EE-1674-4F2D-AC08-B9B5EE5945E9}" name="group_id"/>
    <tableColumn id="4" xr3:uid="{9F80CAE2-02D7-477D-8FA2-3F33B1C7887C}" name="commercial_account_number"/>
    <tableColumn id="5" xr3:uid="{96FC4AA2-FF3D-4A8A-8A42-00CC5BD776A5}" name="currency_code"/>
    <tableColumn id="6" xr3:uid="{50C3E9D9-297F-4A78-AF1C-02A4A6DE6595}" name="closing_balance" totalsRowFunction="sum" totalsRowDxfId="84" dataCellStyle="Currency"/>
    <tableColumn id="7" xr3:uid="{42F5EF7C-50B8-4E3F-B506-16EFB424F912}" name="total_credits" totalsRowFunction="sum" totalsRowDxfId="83" dataCellStyle="Currency"/>
    <tableColumn id="8" xr3:uid="{623ECF6D-E749-40E6-89F3-1DAB377AE01D}" name="number_of_credit_transactions" totalsRowFunction="sum"/>
    <tableColumn id="9" xr3:uid="{D2FE6F59-B36C-455A-8294-762D6AA0A438}" name="total_debits" totalsRowFunction="sum" dataDxfId="82" totalsRowDxfId="81" dataCellStyle="Currency"/>
    <tableColumn id="10" xr3:uid="{F73C9E7D-D33E-4C8C-919F-82BA00D6A323}" name="number_of_debit_transactions" totalsRowFunction="sum"/>
    <tableColumn id="11" xr3:uid="{E26DCBF9-8385-4AE2-92F6-442F0DB1B3A5}" name="account_control_total_a" totalsRowFunction="sum" dataDxfId="80" totalsRowDxfId="79" dataCellStyle="Currency"/>
    <tableColumn id="12" xr3:uid="{7E306001-0835-410D-A70D-0A8AA71130DC}" name="account_control_total_b" totalsRowFunction="sum" totalsRowDxfId="78" dataCellStyle="Currency"/>
    <tableColumn id="13" xr3:uid="{C0ECAFE8-89D6-4B4A-9A25-CEFAFC178226}" name="This df" totalsRowFunction="custom" dataDxfId="77" totalsRowDxfId="76" dataCellStyle="Currency">
      <calculatedColumnFormula>Table2[[#This Row],[closing_balance]]+Table2[[#This Row],[total_credits]]+Table2[[#This Row],[total_debits]]+Table2[[#This Row],[number_of_credit_transactions]]+Table2[[#This Row],[number_of_debit_transactions]]</calculatedColumnFormula>
      <totalsRowFormula>SUBTOTAL(109,Table2[account_control_total_b])</totalsRowFormula>
    </tableColumn>
    <tableColumn id="14" xr3:uid="{20177D88-EF3E-4710-8B2B-A644AAE7F760}" name="Transactions" totalsRowFunction="sum" dataDxfId="75" totalsRowDxfId="74" dataCellStyle="Currency">
      <calculatedColumnFormula>SUMIFS(Table1[amount],Table1[commercial_account_number],Table2[[#This Row],[commercial_account_number]],Table1[transaction_code],"&lt;&gt;"&amp;915,Table1[transaction_code],"&lt;&gt;"&amp;910)</calculatedColumnFormula>
    </tableColumn>
    <tableColumn id="15" xr3:uid="{98A82A66-9285-4F95-AF5D-A04A7FA1ECEC}" name="Check" totalsRowFunction="sum" dataDxfId="73" totalsRowDxfId="72">
      <calculatedColumnFormula>Table2[[#This Row],[This df]]+Table2[[#This Row],[Transactions]]</calculatedColumnFormula>
    </tableColumn>
    <tableColumn id="16" xr3:uid="{76C3DE13-348E-4911-AFDE-28FC777F2174}" name="Check, check" dataDxfId="71" totalsRowDxfId="70">
      <calculatedColumnFormula>Table2[[#This Row],[Check]]=Table2[[#This Row],[account_control_total_a]]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DB840-187E-4400-B7FF-A5BE5AF8DECA}" name="Table3" displayName="Table3" ref="A7:J8" totalsRowShown="0">
  <autoFilter ref="A7:J8" xr:uid="{EF6DB840-187E-4400-B7FF-A5BE5AF8DECA}"/>
  <tableColumns count="10">
    <tableColumn id="1" xr3:uid="{C42D7CC2-527A-4310-AA5D-C78EFD7BA7D4}" name="Column1"/>
    <tableColumn id="2" xr3:uid="{1F6A5659-3BF8-4E32-BFCC-F7D19EAFD4E5}" name="file_metadata_id"/>
    <tableColumn id="3" xr3:uid="{C69624A4-99F1-4E2F-85BF-AFD0745260FF}" name="group_id"/>
    <tableColumn id="4" xr3:uid="{72106B72-2DA2-436F-8923-CFF9E3ED222C}" name="ultimate_receiver_id"/>
    <tableColumn id="5" xr3:uid="{0F53B395-CDC5-40A0-B82B-92D2F93D9FB8}" name="originator_id"/>
    <tableColumn id="6" xr3:uid="{5A7298BC-9C16-4F64-A866-FD0D967799C2}" name="group_status"/>
    <tableColumn id="7" xr3:uid="{4A8EA75C-0C73-4AA1-8EB7-432A25705F1F}" name="as_of_date"/>
    <tableColumn id="8" xr3:uid="{AD339D60-430E-409C-9CC3-42DE45621D25}" name="as_of_time"/>
    <tableColumn id="9" xr3:uid="{F19DDFF2-5A9D-4FC1-9D9C-C1CBE4B6E98E}" name="group_control_total_a" dataDxfId="69" dataCellStyle="Currency"/>
    <tableColumn id="10" xr3:uid="{293B44CC-5281-429C-9C9E-9C4681FB0D16}" name="group_control_total_b" dataDxfId="68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921F96-043C-4AF6-B340-0C9ED8DCAF20}" name="Table4" displayName="Table4" ref="A2:K3" totalsRowShown="0">
  <autoFilter ref="A2:K3" xr:uid="{10921F96-043C-4AF6-B340-0C9ED8DCAF20}"/>
  <tableColumns count="11">
    <tableColumn id="1" xr3:uid="{BB7CAFED-1A00-4DDF-9FA4-58BA6638EC88}" name="Column1"/>
    <tableColumn id="2" xr3:uid="{F664AEFE-C4EA-411B-81AA-69703EBB217B}" name="file_metadata_id"/>
    <tableColumn id="3" xr3:uid="{5518E22B-A88F-4F75-ABEE-5BAA486349BA}" name="sender_identification"/>
    <tableColumn id="4" xr3:uid="{91A5D6F2-FC55-486B-9D7B-F1155D02B568}" name="receiver_identification"/>
    <tableColumn id="5" xr3:uid="{99DC0D7F-9DB5-4A42-976E-46347DF14D6C}" name="creation_date"/>
    <tableColumn id="6" xr3:uid="{23A09446-D6C8-4EC4-A931-7778CE904831}" name="creation_time"/>
    <tableColumn id="7" xr3:uid="{56BABDBB-A322-4FF0-BCAC-EFC4E8C0F8C0}" name="sequence_number"/>
    <tableColumn id="8" xr3:uid="{CF02C61E-7C5F-4A9D-B101-703E12996079}" name="file_control_total_a" dataDxfId="67" dataCellStyle="Currency"/>
    <tableColumn id="9" xr3:uid="{61BFD092-0258-4A14-A613-5CC0F3A45509}" name="number_of_groups" dataDxfId="66"/>
    <tableColumn id="10" xr3:uid="{67FCF386-89CE-4C8F-83A9-43FFB17E46D5}" name="number_of_records" dataDxfId="65"/>
    <tableColumn id="11" xr3:uid="{127E6DB2-3327-417A-B963-05B24572073D}" name="file_control_total_b" dataDxfId="64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F1A7B9-B965-45C2-9172-9935AD3CF75C}" name="Table5" displayName="Table5" ref="B102:AF126" totalsRowShown="0" tableBorderDxfId="63">
  <autoFilter ref="B102:AF126" xr:uid="{03F1A7B9-B965-45C2-9172-9935AD3CF75C}"/>
  <tableColumns count="31">
    <tableColumn id="1" xr3:uid="{6CB5876D-08D5-4B5A-8477-CF0A2E8F27A1}" name="Column1" dataDxfId="62"/>
    <tableColumn id="2" xr3:uid="{9EDDBC79-031F-4805-9D3E-77C59E264229}" name="Column2" dataDxfId="61"/>
    <tableColumn id="3" xr3:uid="{DB232904-4B32-4887-9977-7FBE0EF3FA82}" name="Column3" dataDxfId="60"/>
    <tableColumn id="4" xr3:uid="{9F9FE444-3873-4BCD-8E87-AA431500C85B}" name="Column4" dataDxfId="59"/>
    <tableColumn id="5" xr3:uid="{E2BCB6FE-C042-45F7-8471-D93278B4901A}" name="Column5" dataDxfId="58"/>
    <tableColumn id="6" xr3:uid="{60883CA0-6D89-40C7-9938-8CE148D37744}" name="Column6" dataDxfId="57"/>
    <tableColumn id="7" xr3:uid="{2C85E103-8B35-4ED8-8331-378F37FB63F9}" name="Column7" dataDxfId="56"/>
    <tableColumn id="8" xr3:uid="{D7BA69FA-BC26-454D-B794-2C9D7BE718BD}" name="Column8" dataDxfId="55"/>
    <tableColumn id="9" xr3:uid="{4C51D8CE-C982-416E-A10A-D86932CC8E0B}" name="Column9" dataDxfId="54"/>
    <tableColumn id="10" xr3:uid="{872BCA64-AD68-4DB2-9C03-D60E56ED46F0}" name="Column10" dataDxfId="53"/>
    <tableColumn id="11" xr3:uid="{CCBEE886-D8D1-41FC-AFED-F609F9399D6C}" name="Column11" dataDxfId="52"/>
    <tableColumn id="12" xr3:uid="{AA0A6CC0-43A6-40C4-9569-5A4094A984F3}" name="Column12" dataDxfId="51"/>
    <tableColumn id="13" xr3:uid="{1353F7E1-82F9-494B-8C46-FD9A70293E78}" name="Column13" dataDxfId="50"/>
    <tableColumn id="14" xr3:uid="{02F4A6BE-7202-4AB9-BBA3-CB20DDE0835C}" name="Column14" dataDxfId="49"/>
    <tableColumn id="15" xr3:uid="{42BD0AFB-5F5B-4C8B-900F-B2ED3D661857}" name="Column15" dataDxfId="48"/>
    <tableColumn id="16" xr3:uid="{45DF59D1-1D53-4EBA-98FE-65BC06C84FCE}" name="Column16" dataDxfId="47" dataCellStyle="Currency"/>
    <tableColumn id="17" xr3:uid="{35500FB8-8535-48C6-BC7C-806B5D8667D3}" name="Column17" dataDxfId="46"/>
    <tableColumn id="18" xr3:uid="{A7ADEBBA-804C-4154-9178-51F425CBEE62}" name="Column18" dataDxfId="45"/>
    <tableColumn id="19" xr3:uid="{BD90773C-25B2-409D-91A1-ACCE16DE9D51}" name="Column19" dataDxfId="44"/>
    <tableColumn id="20" xr3:uid="{67D402E1-1ECB-4D42-BCED-82D6869A8EF3}" name="Column20" dataDxfId="43"/>
    <tableColumn id="21" xr3:uid="{496A534B-728A-4F94-9D1B-3FC0DF4ECA5D}" name="Column21" dataDxfId="42"/>
    <tableColumn id="22" xr3:uid="{38F2E012-675C-465D-9598-446A893229F4}" name="Column22" dataDxfId="41"/>
    <tableColumn id="23" xr3:uid="{A0168B18-EAC3-4965-9FF2-6CBE2748AC9F}" name="Column23" dataDxfId="40"/>
    <tableColumn id="24" xr3:uid="{9E38322D-D1D4-45E1-9FC2-D86142EC4FB5}" name="Column24" dataDxfId="39"/>
    <tableColumn id="25" xr3:uid="{FB5CA8DD-EFB8-439F-9608-D7E794A8877D}" name="Column25" dataDxfId="38"/>
    <tableColumn id="26" xr3:uid="{F3C9B411-8932-4F56-8B3E-0462395F2F20}" name="Column26" dataDxfId="37"/>
    <tableColumn id="27" xr3:uid="{43DA744E-35FC-490C-9B7A-DCD68BC79D34}" name="Column27" dataDxfId="36"/>
    <tableColumn id="28" xr3:uid="{9DA32D49-1376-4385-BDED-B09D5EBBEA19}" name="Column28" dataDxfId="35"/>
    <tableColumn id="29" xr3:uid="{89C9D6EE-2D1D-42BB-8CE6-D0074D584541}" name="Column29" dataDxfId="34"/>
    <tableColumn id="30" xr3:uid="{F344AB4E-8805-49E4-97A5-67A4F93260B9}" name="Column30" dataDxfId="33"/>
    <tableColumn id="31" xr3:uid="{C84AF1F0-D4E0-4DE9-8B4F-EAE8B125E9AB}" name="Column31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1D2295-3EA2-4272-BBF4-2B5AB25B3713}" name="Table57" displayName="Table57" ref="B129:AF153" totalsRowShown="0" tableBorderDxfId="31">
  <autoFilter ref="B129:AF153" xr:uid="{621D2295-3EA2-4272-BBF4-2B5AB25B3713}"/>
  <tableColumns count="31">
    <tableColumn id="1" xr3:uid="{C9FD34DF-7634-49B6-A81E-683D46A472CE}" name="Column1" dataDxfId="30"/>
    <tableColumn id="2" xr3:uid="{F610AE91-DFDE-4D64-8EE3-213B11065638}" name="Column2" dataDxfId="29"/>
    <tableColumn id="3" xr3:uid="{83CBC90A-8681-4C10-A84A-D4BBE52B9663}" name="Column3" dataDxfId="28"/>
    <tableColumn id="4" xr3:uid="{B581EF2C-53D7-43DF-A8A5-42ED4D2C5646}" name="Column4" dataDxfId="27"/>
    <tableColumn id="5" xr3:uid="{73293748-7596-411D-BDC4-041448D91112}" name="Column5" dataDxfId="26"/>
    <tableColumn id="6" xr3:uid="{DF158984-3657-4591-A59C-79F6B7325A2A}" name="Column6" dataDxfId="25"/>
    <tableColumn id="7" xr3:uid="{7A792DC1-7355-4CF9-94DB-8ED037400A76}" name="Column7" dataDxfId="24"/>
    <tableColumn id="8" xr3:uid="{95B883EE-6A1D-4225-ACFB-C63B20ED32B1}" name="Column8" dataDxfId="23"/>
    <tableColumn id="9" xr3:uid="{55E1CBD4-FDE4-4AA8-8953-D219991921CB}" name="Column9" dataDxfId="22"/>
    <tableColumn id="10" xr3:uid="{D6305872-CC4D-4278-B58B-060BF92F7250}" name="Column10" dataDxfId="21"/>
    <tableColumn id="11" xr3:uid="{1F109061-017B-4C88-9E17-633EE98462F3}" name="Column11" dataDxfId="20"/>
    <tableColumn id="12" xr3:uid="{74C308E1-0E4E-46F4-8797-2579CEEEF749}" name="Column12" dataDxfId="19"/>
    <tableColumn id="13" xr3:uid="{BD9A43EC-B51C-44EE-B986-49DBDFB36FE2}" name="Column13" dataDxfId="18"/>
    <tableColumn id="14" xr3:uid="{06917BA5-FE5C-4B8C-BEA0-B9CD0DFDD92E}" name="Column14" dataDxfId="17"/>
    <tableColumn id="15" xr3:uid="{7D9E241F-795B-483D-A1FF-4174231A06BE}" name="Column15" dataDxfId="16"/>
    <tableColumn id="16" xr3:uid="{9E1EEE2C-2B68-48EE-B3E1-98CB2EB16D37}" name="Column16" dataDxfId="15" dataCellStyle="Currency"/>
    <tableColumn id="17" xr3:uid="{FEC4D801-0943-42CC-A2F8-D55CF975535A}" name="Column17" dataDxfId="14"/>
    <tableColumn id="18" xr3:uid="{D59D687D-FD82-4FD4-9E6E-C35E44455F00}" name="Column18" dataDxfId="13"/>
    <tableColumn id="19" xr3:uid="{12C1ADB8-8F4A-4AC4-8F87-A09A9D7A34A1}" name="Column19" dataDxfId="12"/>
    <tableColumn id="20" xr3:uid="{2FC1952E-21F2-4707-9F35-85148389B948}" name="Column20" dataDxfId="11"/>
    <tableColumn id="21" xr3:uid="{339EFABB-F8FB-4FBE-85AA-38D5A225D41A}" name="Column21" dataDxfId="10"/>
    <tableColumn id="22" xr3:uid="{351FA5E8-BF21-4D58-9BF1-6DEDE7C30A82}" name="Column22" dataDxfId="9"/>
    <tableColumn id="23" xr3:uid="{849A6579-BE22-40FA-B3A9-4F165FC13A76}" name="Column23" dataDxfId="8"/>
    <tableColumn id="24" xr3:uid="{301A2FB1-636E-4B04-A61F-9ED4FCDC2158}" name="Column24" dataDxfId="7"/>
    <tableColumn id="25" xr3:uid="{9B4A73A3-E258-469A-9B96-333D83229669}" name="Column25" dataDxfId="6"/>
    <tableColumn id="26" xr3:uid="{5B2CBC03-226D-45B6-96B3-1961FD3ED105}" name="Column26" dataDxfId="5"/>
    <tableColumn id="27" xr3:uid="{92A92E4C-05F4-4EB0-BA6A-B55CAB3818A2}" name="Column27" dataDxfId="4"/>
    <tableColumn id="28" xr3:uid="{39F5361F-6F78-4E6E-BEC4-7D913B554E28}" name="Column28" dataDxfId="3"/>
    <tableColumn id="29" xr3:uid="{C5A280F8-0949-44A1-93E2-1248C36AC205}" name="Column29" dataDxfId="2"/>
    <tableColumn id="30" xr3:uid="{EB9C93B4-BB84-4E5A-9346-81ED44F7CB16}" name="Column30" dataDxfId="1"/>
    <tableColumn id="31" xr3:uid="{5B07CBA7-7BAC-46C3-9A68-A2187DB39A2C}" name="Column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9437-8BBA-40CE-9DA1-D583C95203D5}">
  <dimension ref="A1:N49"/>
  <sheetViews>
    <sheetView tabSelected="1" topLeftCell="A7" workbookViewId="0">
      <selection activeCell="M14" sqref="M14"/>
    </sheetView>
  </sheetViews>
  <sheetFormatPr defaultRowHeight="14.5" x14ac:dyDescent="0.35"/>
  <cols>
    <col min="2" max="2" width="31.36328125" bestFit="1" customWidth="1"/>
    <col min="3" max="3" width="31.08984375" bestFit="1" customWidth="1"/>
    <col min="4" max="4" width="18" bestFit="1" customWidth="1"/>
    <col min="5" max="5" width="11.7265625" bestFit="1" customWidth="1"/>
    <col min="6" max="6" width="11.81640625" bestFit="1" customWidth="1"/>
    <col min="7" max="7" width="9.90625" bestFit="1" customWidth="1"/>
    <col min="8" max="8" width="27.54296875" bestFit="1" customWidth="1"/>
    <col min="9" max="10" width="19.453125" bestFit="1" customWidth="1"/>
    <col min="11" max="11" width="13.90625" bestFit="1" customWidth="1"/>
    <col min="12" max="12" width="12.1796875" bestFit="1" customWidth="1"/>
    <col min="14" max="14" width="14.81640625" bestFit="1" customWidth="1"/>
  </cols>
  <sheetData>
    <row r="1" spans="1:12" x14ac:dyDescent="0.35">
      <c r="A1" t="s">
        <v>69</v>
      </c>
    </row>
    <row r="2" spans="1:12" x14ac:dyDescent="0.35"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2" x14ac:dyDescent="0.35">
      <c r="A3">
        <v>0</v>
      </c>
      <c r="B3" t="s">
        <v>57</v>
      </c>
      <c r="D3" t="s">
        <v>58</v>
      </c>
      <c r="E3">
        <v>20120725</v>
      </c>
      <c r="F3">
        <v>20120725</v>
      </c>
      <c r="G3">
        <v>1</v>
      </c>
      <c r="H3" s="2">
        <v>2116951.58</v>
      </c>
      <c r="I3">
        <v>1</v>
      </c>
      <c r="J3">
        <v>188</v>
      </c>
      <c r="K3" s="5">
        <v>2116916.5699999998</v>
      </c>
    </row>
    <row r="5" spans="1:12" x14ac:dyDescent="0.35">
      <c r="A5" t="s">
        <v>68</v>
      </c>
    </row>
    <row r="6" spans="1:12" x14ac:dyDescent="0.35">
      <c r="B6" t="s">
        <v>0</v>
      </c>
      <c r="C6" t="s">
        <v>1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</row>
    <row r="7" spans="1:12" x14ac:dyDescent="0.35">
      <c r="A7">
        <v>0</v>
      </c>
      <c r="B7" t="s">
        <v>57</v>
      </c>
      <c r="C7" t="s">
        <v>12</v>
      </c>
      <c r="D7" t="s">
        <v>58</v>
      </c>
      <c r="E7" t="s">
        <v>66</v>
      </c>
      <c r="F7">
        <v>1</v>
      </c>
      <c r="G7">
        <v>20120724</v>
      </c>
      <c r="H7" s="1" t="s">
        <v>67</v>
      </c>
      <c r="I7" s="2">
        <v>2116951.58</v>
      </c>
      <c r="J7" s="5">
        <v>2116916.5699999998</v>
      </c>
    </row>
    <row r="9" spans="1:12" x14ac:dyDescent="0.35">
      <c r="I9" s="6">
        <f>I7/100</f>
        <v>21169.515800000001</v>
      </c>
      <c r="J9" s="6">
        <f>J7/100</f>
        <v>21169.165699999998</v>
      </c>
    </row>
    <row r="10" spans="1:12" x14ac:dyDescent="0.35">
      <c r="A10" t="s">
        <v>47</v>
      </c>
    </row>
    <row r="11" spans="1:12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5">
      <c r="A12">
        <v>0</v>
      </c>
      <c r="B12" t="s">
        <v>11</v>
      </c>
      <c r="C12" t="s">
        <v>12</v>
      </c>
      <c r="D12">
        <v>594481027</v>
      </c>
      <c r="E12" t="s">
        <v>13</v>
      </c>
      <c r="F12" s="3">
        <v>-134.66999999999999</v>
      </c>
      <c r="G12" s="3">
        <v>0</v>
      </c>
      <c r="H12" s="3">
        <v>0</v>
      </c>
      <c r="I12" s="3">
        <v>0</v>
      </c>
      <c r="J12" s="3">
        <v>0</v>
      </c>
      <c r="K12" s="3">
        <v>-134.66999999999999</v>
      </c>
      <c r="L12" s="3">
        <v>-134.66999999999999</v>
      </c>
    </row>
    <row r="13" spans="1:12" x14ac:dyDescent="0.35">
      <c r="A13">
        <v>1</v>
      </c>
      <c r="B13" t="s">
        <v>11</v>
      </c>
      <c r="C13" t="s">
        <v>12</v>
      </c>
      <c r="D13">
        <v>823840968</v>
      </c>
      <c r="E13" t="s">
        <v>13</v>
      </c>
      <c r="F13" s="3">
        <v>19.89</v>
      </c>
      <c r="G13" s="3">
        <v>0</v>
      </c>
      <c r="H13" s="3">
        <v>0</v>
      </c>
      <c r="I13" s="3">
        <v>0</v>
      </c>
      <c r="J13" s="3">
        <v>0</v>
      </c>
      <c r="K13" s="3">
        <v>19.89</v>
      </c>
      <c r="L13" s="3">
        <v>19.89</v>
      </c>
    </row>
    <row r="14" spans="1:12" x14ac:dyDescent="0.35">
      <c r="A14">
        <v>2</v>
      </c>
      <c r="B14" t="s">
        <v>11</v>
      </c>
      <c r="C14" t="s">
        <v>12</v>
      </c>
      <c r="D14">
        <v>553686978</v>
      </c>
      <c r="E14" t="s">
        <v>13</v>
      </c>
      <c r="F14" s="3">
        <v>23104.05</v>
      </c>
      <c r="G14" s="3">
        <v>645.98</v>
      </c>
      <c r="H14" s="3">
        <v>1</v>
      </c>
      <c r="I14" s="3">
        <v>41712.550000000003</v>
      </c>
      <c r="J14" s="3">
        <v>8</v>
      </c>
      <c r="K14" s="3">
        <v>107830.11</v>
      </c>
      <c r="L14" s="3">
        <v>107830.11</v>
      </c>
    </row>
    <row r="15" spans="1:12" x14ac:dyDescent="0.35">
      <c r="A15">
        <v>3</v>
      </c>
      <c r="B15" t="s">
        <v>11</v>
      </c>
      <c r="C15" t="s">
        <v>12</v>
      </c>
      <c r="D15">
        <v>857862896</v>
      </c>
      <c r="E15" t="s">
        <v>13</v>
      </c>
      <c r="F15" s="3">
        <v>28.05</v>
      </c>
      <c r="G15" s="3">
        <v>0</v>
      </c>
      <c r="H15" s="3">
        <v>0</v>
      </c>
      <c r="I15" s="3">
        <v>0</v>
      </c>
      <c r="J15" s="3">
        <v>0</v>
      </c>
      <c r="K15" s="3">
        <v>28.05</v>
      </c>
      <c r="L15" s="3">
        <v>28.05</v>
      </c>
    </row>
    <row r="17" spans="1:12" x14ac:dyDescent="0.35">
      <c r="K17" s="4">
        <f>SUM(K12:K15)</f>
        <v>107743.38</v>
      </c>
      <c r="L17" s="4">
        <f>SUM(L12:L15)</f>
        <v>107743.38</v>
      </c>
    </row>
    <row r="19" spans="1:12" x14ac:dyDescent="0.35">
      <c r="A19" t="s">
        <v>46</v>
      </c>
    </row>
    <row r="20" spans="1:12" x14ac:dyDescent="0.35">
      <c r="B20" t="s">
        <v>0</v>
      </c>
      <c r="C20" t="s">
        <v>1</v>
      </c>
      <c r="D20" t="s">
        <v>2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5">
      <c r="A21">
        <v>0</v>
      </c>
      <c r="B21" t="s">
        <v>11</v>
      </c>
      <c r="C21" t="s">
        <v>12</v>
      </c>
      <c r="D21">
        <v>553686978</v>
      </c>
      <c r="E21">
        <v>915</v>
      </c>
      <c r="F21">
        <v>5504</v>
      </c>
      <c r="G21">
        <v>0</v>
      </c>
      <c r="H21" s="1" t="s">
        <v>22</v>
      </c>
      <c r="J21" t="s">
        <v>23</v>
      </c>
      <c r="K21" t="s">
        <v>24</v>
      </c>
      <c r="L21" t="s">
        <v>25</v>
      </c>
    </row>
    <row r="22" spans="1:12" x14ac:dyDescent="0.35">
      <c r="A22">
        <v>1</v>
      </c>
      <c r="B22" t="s">
        <v>11</v>
      </c>
      <c r="C22" t="s">
        <v>12</v>
      </c>
      <c r="D22">
        <v>553686978</v>
      </c>
      <c r="E22">
        <v>910</v>
      </c>
      <c r="F22">
        <v>5885</v>
      </c>
      <c r="G22">
        <v>0</v>
      </c>
      <c r="H22">
        <v>0</v>
      </c>
      <c r="I22" t="s">
        <v>26</v>
      </c>
      <c r="J22" t="s">
        <v>23</v>
      </c>
      <c r="K22" t="s">
        <v>27</v>
      </c>
      <c r="L22" t="s">
        <v>27</v>
      </c>
    </row>
    <row r="23" spans="1:12" x14ac:dyDescent="0.35">
      <c r="A23">
        <v>2</v>
      </c>
      <c r="B23" t="s">
        <v>11</v>
      </c>
      <c r="C23" t="s">
        <v>12</v>
      </c>
      <c r="D23">
        <v>553686978</v>
      </c>
      <c r="E23">
        <v>910</v>
      </c>
      <c r="F23">
        <v>30000</v>
      </c>
      <c r="G23">
        <v>0</v>
      </c>
      <c r="H23" s="1" t="s">
        <v>28</v>
      </c>
      <c r="I23" t="s">
        <v>29</v>
      </c>
      <c r="J23" t="s">
        <v>23</v>
      </c>
      <c r="K23" t="s">
        <v>27</v>
      </c>
      <c r="L23" t="s">
        <v>27</v>
      </c>
    </row>
    <row r="24" spans="1:12" x14ac:dyDescent="0.35">
      <c r="A24">
        <v>3</v>
      </c>
      <c r="B24" t="s">
        <v>11</v>
      </c>
      <c r="C24" t="s">
        <v>12</v>
      </c>
      <c r="D24">
        <v>553686978</v>
      </c>
      <c r="E24">
        <v>936</v>
      </c>
      <c r="F24">
        <v>645.98</v>
      </c>
      <c r="G24">
        <v>0</v>
      </c>
      <c r="H24">
        <v>0</v>
      </c>
      <c r="I24" t="s">
        <v>30</v>
      </c>
      <c r="J24" t="s">
        <v>23</v>
      </c>
      <c r="K24" t="s">
        <v>31</v>
      </c>
      <c r="L24" t="s">
        <v>32</v>
      </c>
    </row>
    <row r="25" spans="1:12" x14ac:dyDescent="0.35">
      <c r="A25">
        <v>4</v>
      </c>
      <c r="B25" t="s">
        <v>11</v>
      </c>
      <c r="C25" t="s">
        <v>12</v>
      </c>
      <c r="D25">
        <v>553686978</v>
      </c>
      <c r="E25">
        <v>475</v>
      </c>
      <c r="F25">
        <v>700.5</v>
      </c>
      <c r="G25">
        <v>0</v>
      </c>
      <c r="H25" s="1" t="s">
        <v>33</v>
      </c>
      <c r="J25" t="s">
        <v>34</v>
      </c>
      <c r="K25" t="s">
        <v>35</v>
      </c>
      <c r="L25" t="s">
        <v>36</v>
      </c>
    </row>
    <row r="26" spans="1:12" x14ac:dyDescent="0.35">
      <c r="A26">
        <v>5</v>
      </c>
      <c r="B26" t="s">
        <v>11</v>
      </c>
      <c r="C26" t="s">
        <v>12</v>
      </c>
      <c r="D26">
        <v>553686978</v>
      </c>
      <c r="E26">
        <v>475</v>
      </c>
      <c r="F26">
        <v>224.1</v>
      </c>
      <c r="G26">
        <v>0</v>
      </c>
      <c r="H26" s="1" t="s">
        <v>37</v>
      </c>
      <c r="J26" t="s">
        <v>34</v>
      </c>
      <c r="K26" t="s">
        <v>35</v>
      </c>
      <c r="L26" t="s">
        <v>36</v>
      </c>
    </row>
    <row r="27" spans="1:12" x14ac:dyDescent="0.35">
      <c r="A27">
        <v>6</v>
      </c>
      <c r="B27" t="s">
        <v>11</v>
      </c>
      <c r="C27" t="s">
        <v>12</v>
      </c>
      <c r="D27">
        <v>553686978</v>
      </c>
      <c r="E27">
        <v>475</v>
      </c>
      <c r="F27">
        <v>226.5</v>
      </c>
      <c r="G27">
        <v>0</v>
      </c>
      <c r="H27" s="1" t="s">
        <v>38</v>
      </c>
      <c r="J27" t="s">
        <v>34</v>
      </c>
      <c r="K27" t="s">
        <v>35</v>
      </c>
      <c r="L27" t="s">
        <v>36</v>
      </c>
    </row>
    <row r="28" spans="1:12" x14ac:dyDescent="0.35">
      <c r="A28">
        <v>7</v>
      </c>
      <c r="B28" t="s">
        <v>11</v>
      </c>
      <c r="C28" t="s">
        <v>12</v>
      </c>
      <c r="D28">
        <v>553686978</v>
      </c>
      <c r="E28">
        <v>475</v>
      </c>
      <c r="F28">
        <v>2106.1999999999998</v>
      </c>
      <c r="G28">
        <v>0</v>
      </c>
      <c r="H28" s="1" t="s">
        <v>39</v>
      </c>
      <c r="J28" t="s">
        <v>34</v>
      </c>
      <c r="K28" t="s">
        <v>35</v>
      </c>
      <c r="L28" t="s">
        <v>36</v>
      </c>
    </row>
    <row r="29" spans="1:12" x14ac:dyDescent="0.35">
      <c r="A29">
        <v>8</v>
      </c>
      <c r="B29" t="s">
        <v>11</v>
      </c>
      <c r="C29" t="s">
        <v>12</v>
      </c>
      <c r="D29">
        <v>553686978</v>
      </c>
      <c r="E29">
        <v>475</v>
      </c>
      <c r="F29">
        <v>3792</v>
      </c>
      <c r="G29">
        <v>0</v>
      </c>
      <c r="H29" s="1" t="s">
        <v>40</v>
      </c>
      <c r="J29" t="s">
        <v>34</v>
      </c>
      <c r="K29" t="s">
        <v>35</v>
      </c>
      <c r="L29" t="s">
        <v>36</v>
      </c>
    </row>
    <row r="30" spans="1:12" x14ac:dyDescent="0.35">
      <c r="A30">
        <v>9</v>
      </c>
      <c r="B30" t="s">
        <v>11</v>
      </c>
      <c r="C30" t="s">
        <v>12</v>
      </c>
      <c r="D30">
        <v>553686978</v>
      </c>
      <c r="E30">
        <v>475</v>
      </c>
      <c r="F30">
        <v>619.15</v>
      </c>
      <c r="G30">
        <v>0</v>
      </c>
      <c r="H30" s="1" t="s">
        <v>41</v>
      </c>
      <c r="J30" t="s">
        <v>34</v>
      </c>
      <c r="K30" t="s">
        <v>35</v>
      </c>
      <c r="L30" t="s">
        <v>36</v>
      </c>
    </row>
    <row r="31" spans="1:12" x14ac:dyDescent="0.35">
      <c r="A31">
        <v>10</v>
      </c>
      <c r="B31" t="s">
        <v>11</v>
      </c>
      <c r="C31" t="s">
        <v>12</v>
      </c>
      <c r="D31">
        <v>553686978</v>
      </c>
      <c r="E31">
        <v>475</v>
      </c>
      <c r="F31">
        <v>33000</v>
      </c>
      <c r="G31">
        <v>0</v>
      </c>
      <c r="H31" s="1" t="s">
        <v>42</v>
      </c>
      <c r="J31" t="s">
        <v>34</v>
      </c>
      <c r="K31" t="s">
        <v>35</v>
      </c>
      <c r="L31" t="s">
        <v>36</v>
      </c>
    </row>
    <row r="32" spans="1:12" x14ac:dyDescent="0.35">
      <c r="A32">
        <v>11</v>
      </c>
      <c r="B32" t="s">
        <v>11</v>
      </c>
      <c r="C32" t="s">
        <v>12</v>
      </c>
      <c r="D32">
        <v>553686978</v>
      </c>
      <c r="E32">
        <v>501</v>
      </c>
      <c r="F32">
        <v>1044.0999999999999</v>
      </c>
      <c r="G32">
        <v>0</v>
      </c>
      <c r="H32">
        <v>0</v>
      </c>
      <c r="I32" t="s">
        <v>43</v>
      </c>
      <c r="J32" t="s">
        <v>34</v>
      </c>
      <c r="K32" t="s">
        <v>44</v>
      </c>
      <c r="L32" t="s">
        <v>45</v>
      </c>
    </row>
    <row r="42" spans="7:14" x14ac:dyDescent="0.35">
      <c r="G42">
        <f>IF(H42="49",1,"")</f>
        <v>1</v>
      </c>
      <c r="H42" t="str">
        <f>LEFT(I42,2)</f>
        <v>49</v>
      </c>
      <c r="I42" t="s">
        <v>71</v>
      </c>
      <c r="J42">
        <f>FIND(",",I42,1)</f>
        <v>3</v>
      </c>
      <c r="K42" t="str">
        <f>RIGHT(I42,LEN(I42)-J42)</f>
        <v xml:space="preserve">-13467,-13467/                                                               </v>
      </c>
      <c r="L42">
        <f>FIND(",",K42,1)</f>
        <v>7</v>
      </c>
      <c r="M42" t="str">
        <f>LEFT(K42,L42-1)</f>
        <v>-13467</v>
      </c>
      <c r="N42" s="3">
        <f>VALUE(M42)</f>
        <v>-13467</v>
      </c>
    </row>
    <row r="43" spans="7:14" x14ac:dyDescent="0.35">
      <c r="G43">
        <f t="shared" ref="G43:G45" si="0">IF(H43="49",1,"")</f>
        <v>1</v>
      </c>
      <c r="H43" t="str">
        <f t="shared" ref="H43:H45" si="1">LEFT(I43,2)</f>
        <v>49</v>
      </c>
      <c r="I43" t="s">
        <v>72</v>
      </c>
      <c r="J43">
        <f>FIND(",",I43,1)</f>
        <v>3</v>
      </c>
      <c r="K43" t="str">
        <f t="shared" ref="K43:K45" si="2">RIGHT(I43,LEN(I43)-J43)</f>
        <v xml:space="preserve">1989,1989/                                                                   </v>
      </c>
      <c r="L43">
        <f t="shared" ref="L43:L45" si="3">FIND(",",K43,1)</f>
        <v>5</v>
      </c>
      <c r="M43" t="str">
        <f t="shared" ref="M43:M45" si="4">LEFT(K43,L43-1)</f>
        <v>1989</v>
      </c>
      <c r="N43" s="3">
        <f t="shared" ref="N43:N45" si="5">VALUE(M43)</f>
        <v>1989</v>
      </c>
    </row>
    <row r="44" spans="7:14" x14ac:dyDescent="0.35">
      <c r="G44">
        <f t="shared" si="0"/>
        <v>1</v>
      </c>
      <c r="H44" t="str">
        <f t="shared" si="1"/>
        <v>49</v>
      </c>
      <c r="I44" t="s">
        <v>73</v>
      </c>
      <c r="J44">
        <f>FIND(",",I44,1)</f>
        <v>3</v>
      </c>
      <c r="K44" t="str">
        <f t="shared" si="2"/>
        <v xml:space="preserve">10783011,10783011/                                                           </v>
      </c>
      <c r="L44">
        <f t="shared" si="3"/>
        <v>9</v>
      </c>
      <c r="M44" t="str">
        <f t="shared" si="4"/>
        <v>10783011</v>
      </c>
      <c r="N44" s="3">
        <f t="shared" si="5"/>
        <v>10783011</v>
      </c>
    </row>
    <row r="45" spans="7:14" x14ac:dyDescent="0.35">
      <c r="G45">
        <f t="shared" si="0"/>
        <v>1</v>
      </c>
      <c r="H45" t="str">
        <f t="shared" si="1"/>
        <v>49</v>
      </c>
      <c r="I45" t="s">
        <v>74</v>
      </c>
      <c r="J45">
        <f>FIND(",",I45,1)</f>
        <v>3</v>
      </c>
      <c r="K45" t="str">
        <f t="shared" si="2"/>
        <v xml:space="preserve">2805,2805/ </v>
      </c>
      <c r="L45">
        <f t="shared" si="3"/>
        <v>5</v>
      </c>
      <c r="M45" t="str">
        <f t="shared" si="4"/>
        <v>2805</v>
      </c>
      <c r="N45" s="3">
        <f t="shared" si="5"/>
        <v>2805</v>
      </c>
    </row>
    <row r="46" spans="7:14" x14ac:dyDescent="0.35">
      <c r="N46" s="3"/>
    </row>
    <row r="47" spans="7:14" x14ac:dyDescent="0.35">
      <c r="N47" s="3">
        <f>SUM(N42:N45)</f>
        <v>10774338</v>
      </c>
    </row>
    <row r="49" spans="14:14" x14ac:dyDescent="0.35">
      <c r="N49" s="4">
        <f>N47*2</f>
        <v>21548676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570-57C7-46C8-BF46-247526A4FA7C}">
  <dimension ref="A1:AG190"/>
  <sheetViews>
    <sheetView topLeftCell="A134" zoomScale="85" zoomScaleNormal="85" workbookViewId="0">
      <selection activeCell="E145" sqref="E145"/>
    </sheetView>
  </sheetViews>
  <sheetFormatPr defaultRowHeight="14.5" x14ac:dyDescent="0.35"/>
  <cols>
    <col min="1" max="1" width="10.6328125" customWidth="1"/>
    <col min="2" max="2" width="17.08984375" customWidth="1"/>
    <col min="3" max="3" width="21.26953125" customWidth="1"/>
    <col min="4" max="4" width="28.08984375" customWidth="1"/>
    <col min="5" max="5" width="17.6328125" customWidth="1"/>
    <col min="6" max="6" width="16.36328125" customWidth="1"/>
    <col min="7" max="7" width="18.81640625" customWidth="1"/>
    <col min="8" max="8" width="28.81640625" customWidth="1"/>
    <col min="9" max="9" width="20.7265625" customWidth="1"/>
    <col min="10" max="10" width="28.26953125" customWidth="1"/>
    <col min="11" max="11" width="23.1796875" customWidth="1"/>
    <col min="12" max="12" width="22.90625" customWidth="1"/>
    <col min="13" max="13" width="12.90625" bestFit="1" customWidth="1"/>
    <col min="14" max="14" width="14.453125" bestFit="1" customWidth="1"/>
    <col min="15" max="15" width="12.90625" bestFit="1" customWidth="1"/>
    <col min="16" max="16" width="12.1796875" bestFit="1" customWidth="1"/>
    <col min="17" max="17" width="12.453125" style="3" customWidth="1"/>
    <col min="18" max="19" width="12.1796875" bestFit="1" customWidth="1"/>
    <col min="20" max="32" width="11.08984375" customWidth="1"/>
  </cols>
  <sheetData>
    <row r="1" spans="1:13" x14ac:dyDescent="0.35">
      <c r="A1" t="s">
        <v>69</v>
      </c>
    </row>
    <row r="2" spans="1:13" x14ac:dyDescent="0.35">
      <c r="A2" t="s">
        <v>70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3" x14ac:dyDescent="0.35">
      <c r="A3">
        <v>0</v>
      </c>
      <c r="B3" t="s">
        <v>57</v>
      </c>
      <c r="D3" t="s">
        <v>58</v>
      </c>
      <c r="E3">
        <v>20120725</v>
      </c>
      <c r="F3">
        <v>20120725</v>
      </c>
      <c r="G3">
        <v>1</v>
      </c>
      <c r="H3" s="8">
        <v>2116951.58</v>
      </c>
      <c r="I3">
        <v>1</v>
      </c>
      <c r="J3">
        <v>188</v>
      </c>
      <c r="K3" s="8">
        <v>2116916.5699999998</v>
      </c>
    </row>
    <row r="6" spans="1:13" x14ac:dyDescent="0.35">
      <c r="A6" t="s">
        <v>68</v>
      </c>
    </row>
    <row r="7" spans="1:13" x14ac:dyDescent="0.35">
      <c r="A7" t="s">
        <v>70</v>
      </c>
      <c r="B7" t="s">
        <v>0</v>
      </c>
      <c r="C7" t="s">
        <v>1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3" x14ac:dyDescent="0.35">
      <c r="A8">
        <v>0</v>
      </c>
      <c r="B8" t="s">
        <v>57</v>
      </c>
      <c r="C8" t="s">
        <v>12</v>
      </c>
      <c r="D8" t="s">
        <v>58</v>
      </c>
      <c r="E8" t="s">
        <v>66</v>
      </c>
      <c r="F8">
        <v>1</v>
      </c>
      <c r="G8">
        <v>20120724</v>
      </c>
      <c r="H8" s="1" t="s">
        <v>67</v>
      </c>
      <c r="I8" s="2">
        <v>2116951.58</v>
      </c>
      <c r="J8" s="2">
        <v>2116916.5699999998</v>
      </c>
    </row>
    <row r="10" spans="1:13" x14ac:dyDescent="0.35">
      <c r="H10" t="s">
        <v>46</v>
      </c>
      <c r="I10" s="7">
        <f>SUM(Table1[amount])</f>
        <v>83747.53</v>
      </c>
      <c r="J10" s="4">
        <f>SUM(Table1[amount])</f>
        <v>83747.53</v>
      </c>
      <c r="L10" s="4">
        <f>F51</f>
        <v>42358.53</v>
      </c>
      <c r="M10" s="4">
        <f>F51</f>
        <v>42358.53</v>
      </c>
    </row>
    <row r="11" spans="1:13" x14ac:dyDescent="0.35">
      <c r="G11" s="7" cm="1">
        <f t="array" ref="G11">Table3[as_of_date]</f>
        <v>20120724</v>
      </c>
      <c r="I11" s="7">
        <f>SUM(Table2[[closing_balance]:[account_control_total_b]])</f>
        <v>280871.61</v>
      </c>
    </row>
    <row r="18" spans="1:19" x14ac:dyDescent="0.35">
      <c r="K18" s="3">
        <f>SUM(Table2[[account_control_total_a]:[Transactions]])</f>
        <v>323230.13999999996</v>
      </c>
      <c r="M18" s="7">
        <f>SUM(Table2[[This df]:[Transactions]])</f>
        <v>107743.38</v>
      </c>
    </row>
    <row r="19" spans="1:19" x14ac:dyDescent="0.35">
      <c r="A19" t="s">
        <v>47</v>
      </c>
      <c r="S19" s="3">
        <f>SUM(S21:S24)</f>
        <v>280871.61</v>
      </c>
    </row>
    <row r="20" spans="1:19" x14ac:dyDescent="0.35">
      <c r="A20" t="s">
        <v>70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76</v>
      </c>
      <c r="N20" t="s">
        <v>46</v>
      </c>
      <c r="O20" t="s">
        <v>77</v>
      </c>
      <c r="P20" t="s">
        <v>78</v>
      </c>
      <c r="S20" s="3"/>
    </row>
    <row r="21" spans="1:19" x14ac:dyDescent="0.35">
      <c r="A21">
        <v>0</v>
      </c>
      <c r="B21" t="s">
        <v>11</v>
      </c>
      <c r="C21" t="s">
        <v>12</v>
      </c>
      <c r="D21">
        <v>594481027</v>
      </c>
      <c r="E21" t="s">
        <v>13</v>
      </c>
      <c r="F21" s="3">
        <v>-134.66999999999999</v>
      </c>
      <c r="G21" s="3">
        <v>0</v>
      </c>
      <c r="H21">
        <v>0</v>
      </c>
      <c r="I21" s="3">
        <v>0</v>
      </c>
      <c r="J21">
        <v>0</v>
      </c>
      <c r="K21" s="3">
        <v>-134.66999999999999</v>
      </c>
      <c r="L21" s="3">
        <v>-134.66999999999999</v>
      </c>
      <c r="M21" s="3">
        <f>Table2[[#This Row],[closing_balance]]+Table2[[#This Row],[total_credits]]+Table2[[#This Row],[total_debits]]+Table2[[#This Row],[number_of_credit_transactions]]+Table2[[#This Row],[number_of_debit_transactions]]</f>
        <v>-134.66999999999999</v>
      </c>
      <c r="N21" s="3">
        <f>SUMIFS(Table1[amount],Table1[commercial_account_number],Table2[[#This Row],[commercial_account_number]],Table1[transaction_code],"&lt;&gt;"&amp;915,Table1[transaction_code],"&lt;&gt;"&amp;910)</f>
        <v>0</v>
      </c>
      <c r="O21" s="4">
        <f>Table2[[#This Row],[This df]]+Table2[[#This Row],[Transactions]]</f>
        <v>-134.66999999999999</v>
      </c>
      <c r="P21" t="b">
        <f>Table2[[#This Row],[Check]]=Table2[[#This Row],[account_control_total_a]]</f>
        <v>1</v>
      </c>
      <c r="S21" s="3">
        <f>SUM(F21:L21)</f>
        <v>-404.01</v>
      </c>
    </row>
    <row r="22" spans="1:19" x14ac:dyDescent="0.35">
      <c r="A22">
        <v>1</v>
      </c>
      <c r="B22" t="s">
        <v>11</v>
      </c>
      <c r="C22" t="s">
        <v>12</v>
      </c>
      <c r="D22">
        <v>823840968</v>
      </c>
      <c r="E22" t="s">
        <v>13</v>
      </c>
      <c r="F22" s="3">
        <v>19.89</v>
      </c>
      <c r="G22" s="3">
        <v>0</v>
      </c>
      <c r="H22">
        <v>0</v>
      </c>
      <c r="I22" s="3">
        <v>0</v>
      </c>
      <c r="J22">
        <v>0</v>
      </c>
      <c r="K22" s="3">
        <v>19.89</v>
      </c>
      <c r="L22" s="3">
        <v>19.89</v>
      </c>
      <c r="M22" s="3">
        <f>Table2[[#This Row],[closing_balance]]+Table2[[#This Row],[total_credits]]+Table2[[#This Row],[total_debits]]+Table2[[#This Row],[number_of_credit_transactions]]+Table2[[#This Row],[number_of_debit_transactions]]</f>
        <v>19.89</v>
      </c>
      <c r="N22" s="3">
        <f>SUMIFS(Table1[amount],Table1[commercial_account_number],Table2[[#This Row],[commercial_account_number]],Table1[transaction_code],"&lt;&gt;"&amp;915,Table1[transaction_code],"&lt;&gt;"&amp;910)</f>
        <v>0</v>
      </c>
      <c r="O22" s="4">
        <f>Table2[[#This Row],[This df]]+Table2[[#This Row],[Transactions]]</f>
        <v>19.89</v>
      </c>
      <c r="P22" t="b">
        <f>Table2[[#This Row],[Check]]=Table2[[#This Row],[account_control_total_a]]</f>
        <v>1</v>
      </c>
      <c r="S22" s="3">
        <f>SUM(F22:L22)</f>
        <v>59.67</v>
      </c>
    </row>
    <row r="23" spans="1:19" x14ac:dyDescent="0.35">
      <c r="A23">
        <v>2</v>
      </c>
      <c r="B23" t="s">
        <v>11</v>
      </c>
      <c r="C23" t="s">
        <v>12</v>
      </c>
      <c r="D23">
        <v>553686978</v>
      </c>
      <c r="E23" t="s">
        <v>13</v>
      </c>
      <c r="F23" s="3">
        <v>23104.05</v>
      </c>
      <c r="G23" s="3">
        <v>645.98</v>
      </c>
      <c r="H23">
        <v>1</v>
      </c>
      <c r="I23" s="3">
        <v>41712.550000000003</v>
      </c>
      <c r="J23">
        <v>8</v>
      </c>
      <c r="K23" s="3">
        <v>107830.11</v>
      </c>
      <c r="L23" s="3">
        <v>107830.11</v>
      </c>
      <c r="M23" s="3">
        <f>Table2[[#This Row],[closing_balance]]+Table2[[#This Row],[total_credits]]+Table2[[#This Row],[total_debits]]+Table2[[#This Row],[number_of_credit_transactions]]+Table2[[#This Row],[number_of_debit_transactions]]</f>
        <v>65471.58</v>
      </c>
      <c r="N23" s="3">
        <f>SUMIFS(Table1[amount],Table1[commercial_account_number],Table2[[#This Row],[commercial_account_number]],Table1[transaction_code],"&lt;&gt;"&amp;915,Table1[transaction_code],"&lt;&gt;"&amp;910)</f>
        <v>42358.53</v>
      </c>
      <c r="O23" s="4">
        <f>Table2[[#This Row],[This df]]+Table2[[#This Row],[Transactions]]</f>
        <v>107830.11</v>
      </c>
      <c r="P23" t="b">
        <f>Table2[[#This Row],[Check]]=Table2[[#This Row],[account_control_total_a]]</f>
        <v>1</v>
      </c>
      <c r="R23" s="4">
        <f>Table2[[#This Row],[This df]]+F51</f>
        <v>107830.11</v>
      </c>
      <c r="S23" s="3">
        <f>SUM(F23:L23)</f>
        <v>281131.8</v>
      </c>
    </row>
    <row r="24" spans="1:19" x14ac:dyDescent="0.35">
      <c r="A24">
        <v>3</v>
      </c>
      <c r="B24" t="s">
        <v>11</v>
      </c>
      <c r="C24" t="s">
        <v>12</v>
      </c>
      <c r="D24">
        <v>857862896</v>
      </c>
      <c r="E24" t="s">
        <v>13</v>
      </c>
      <c r="F24" s="3">
        <v>28.05</v>
      </c>
      <c r="G24" s="3">
        <v>0</v>
      </c>
      <c r="H24">
        <v>0</v>
      </c>
      <c r="I24" s="3">
        <v>0</v>
      </c>
      <c r="J24">
        <v>0</v>
      </c>
      <c r="K24" s="3">
        <v>28.05</v>
      </c>
      <c r="L24" s="3">
        <v>28.05</v>
      </c>
      <c r="M24" s="3">
        <f>Table2[[#This Row],[closing_balance]]+Table2[[#This Row],[total_credits]]+Table2[[#This Row],[total_debits]]+Table2[[#This Row],[number_of_credit_transactions]]+Table2[[#This Row],[number_of_debit_transactions]]</f>
        <v>28.05</v>
      </c>
      <c r="N24" s="3">
        <f>SUMIFS(Table1[amount],Table1[commercial_account_number],Table2[[#This Row],[commercial_account_number]],Table1[transaction_code],"&lt;&gt;"&amp;915,Table1[transaction_code],"&lt;&gt;"&amp;910)</f>
        <v>0</v>
      </c>
      <c r="O24" s="4">
        <f>Table2[[#This Row],[This df]]+Table2[[#This Row],[Transactions]]</f>
        <v>28.05</v>
      </c>
      <c r="P24" t="b">
        <f>Table2[[#This Row],[Check]]=Table2[[#This Row],[account_control_total_a]]</f>
        <v>1</v>
      </c>
      <c r="R24" s="4">
        <f>R23-L23</f>
        <v>0</v>
      </c>
      <c r="S24" s="3">
        <f>SUM(F24:L24)</f>
        <v>84.15</v>
      </c>
    </row>
    <row r="25" spans="1:19" x14ac:dyDescent="0.35">
      <c r="A25" t="s">
        <v>79</v>
      </c>
      <c r="F25" s="4">
        <f>SUBTOTAL(109,Table2[closing_balance])</f>
        <v>23017.32</v>
      </c>
      <c r="G25" s="4">
        <f>SUBTOTAL(109,Table2[total_credits])</f>
        <v>645.98</v>
      </c>
      <c r="H25">
        <f>SUBTOTAL(109,Table2[number_of_credit_transactions])</f>
        <v>1</v>
      </c>
      <c r="I25" s="4">
        <f>SUBTOTAL(109,Table2[total_debits])</f>
        <v>41712.550000000003</v>
      </c>
      <c r="J25">
        <f>SUBTOTAL(109,Table2[number_of_debit_transactions])</f>
        <v>8</v>
      </c>
      <c r="K25" s="4">
        <f>SUBTOTAL(109,Table2[account_control_total_a])</f>
        <v>107743.38</v>
      </c>
      <c r="L25" s="4">
        <f>SUBTOTAL(109,Table2[account_control_total_b])</f>
        <v>107743.38</v>
      </c>
      <c r="M25" s="4">
        <f>SUBTOTAL(109,Table2[account_control_total_b])</f>
        <v>107743.38</v>
      </c>
      <c r="N25" s="4">
        <f>SUBTOTAL(109,Table2[Transactions])</f>
        <v>42358.53</v>
      </c>
      <c r="O25" s="4">
        <f>SUBTOTAL(109,Table2[Check])</f>
        <v>107743.38</v>
      </c>
      <c r="P25" s="4"/>
      <c r="S25" s="3"/>
    </row>
    <row r="26" spans="1:19" x14ac:dyDescent="0.35">
      <c r="S26" s="3"/>
    </row>
    <row r="27" spans="1:19" x14ac:dyDescent="0.35">
      <c r="F27" s="3"/>
      <c r="G27" s="3"/>
      <c r="H27" s="3"/>
      <c r="I27" s="3"/>
      <c r="J27" s="3"/>
      <c r="K27" s="3">
        <f>Table1[[#Totals],[amount]]</f>
        <v>83747.53</v>
      </c>
      <c r="L27" s="3"/>
      <c r="O27" s="3"/>
      <c r="S27" s="3"/>
    </row>
    <row r="28" spans="1:19" x14ac:dyDescent="0.35">
      <c r="F28" s="3"/>
      <c r="G28" s="3"/>
      <c r="H28" s="3"/>
      <c r="I28" s="3"/>
      <c r="J28" s="3"/>
      <c r="L28" s="3"/>
      <c r="O28" s="3"/>
      <c r="S28" s="3"/>
    </row>
    <row r="29" spans="1:19" x14ac:dyDescent="0.35">
      <c r="A29" t="s">
        <v>46</v>
      </c>
      <c r="K29" s="3">
        <f>K27+Table2[[#Totals],[account_control_total_a]]</f>
        <v>191490.91</v>
      </c>
    </row>
    <row r="30" spans="1:19" x14ac:dyDescent="0.35">
      <c r="J30" s="4">
        <f>K30-Table2[[#Totals],[closing_balance]]</f>
        <v>-1847.8041999999987</v>
      </c>
      <c r="K30" s="9" cm="1">
        <f t="array" ref="K30">Table3[group_control_total_a]/100</f>
        <v>21169.515800000001</v>
      </c>
    </row>
    <row r="33" spans="1:12" x14ac:dyDescent="0.35">
      <c r="A33" t="s">
        <v>70</v>
      </c>
      <c r="B33" t="s">
        <v>0</v>
      </c>
      <c r="C33" t="s">
        <v>1</v>
      </c>
      <c r="D33" t="s">
        <v>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5">
      <c r="A34">
        <v>0</v>
      </c>
      <c r="B34" t="s">
        <v>11</v>
      </c>
      <c r="C34" t="s">
        <v>12</v>
      </c>
      <c r="D34">
        <v>553686978</v>
      </c>
      <c r="E34">
        <v>915</v>
      </c>
      <c r="F34" s="3">
        <v>5504</v>
      </c>
      <c r="G34">
        <v>0</v>
      </c>
      <c r="H34" s="1" t="s">
        <v>22</v>
      </c>
      <c r="J34" t="s">
        <v>23</v>
      </c>
      <c r="K34" t="s">
        <v>24</v>
      </c>
      <c r="L34" t="s">
        <v>25</v>
      </c>
    </row>
    <row r="35" spans="1:12" x14ac:dyDescent="0.35">
      <c r="A35">
        <v>1</v>
      </c>
      <c r="B35" t="s">
        <v>11</v>
      </c>
      <c r="C35" t="s">
        <v>12</v>
      </c>
      <c r="D35">
        <v>553686978</v>
      </c>
      <c r="E35">
        <v>910</v>
      </c>
      <c r="F35" s="3">
        <v>5885</v>
      </c>
      <c r="G35">
        <v>0</v>
      </c>
      <c r="H35">
        <v>0</v>
      </c>
      <c r="I35" t="s">
        <v>26</v>
      </c>
      <c r="J35" t="s">
        <v>23</v>
      </c>
      <c r="K35" t="s">
        <v>27</v>
      </c>
      <c r="L35" t="s">
        <v>27</v>
      </c>
    </row>
    <row r="36" spans="1:12" x14ac:dyDescent="0.35">
      <c r="A36">
        <v>2</v>
      </c>
      <c r="B36" t="s">
        <v>11</v>
      </c>
      <c r="C36" t="s">
        <v>12</v>
      </c>
      <c r="D36">
        <v>553686978</v>
      </c>
      <c r="E36">
        <v>910</v>
      </c>
      <c r="F36" s="3">
        <v>30000</v>
      </c>
      <c r="G36">
        <v>0</v>
      </c>
      <c r="H36" s="1" t="s">
        <v>28</v>
      </c>
      <c r="I36" t="s">
        <v>29</v>
      </c>
      <c r="J36" t="s">
        <v>23</v>
      </c>
      <c r="K36" t="s">
        <v>27</v>
      </c>
      <c r="L36" t="s">
        <v>27</v>
      </c>
    </row>
    <row r="37" spans="1:12" x14ac:dyDescent="0.35">
      <c r="A37">
        <v>3</v>
      </c>
      <c r="B37" t="s">
        <v>11</v>
      </c>
      <c r="C37" t="s">
        <v>12</v>
      </c>
      <c r="D37">
        <v>553686978</v>
      </c>
      <c r="E37">
        <v>936</v>
      </c>
      <c r="F37" s="3">
        <v>645.98</v>
      </c>
      <c r="G37">
        <v>0</v>
      </c>
      <c r="H37">
        <v>0</v>
      </c>
      <c r="I37" t="s">
        <v>30</v>
      </c>
      <c r="J37" t="s">
        <v>23</v>
      </c>
      <c r="K37" t="s">
        <v>31</v>
      </c>
      <c r="L37" t="s">
        <v>32</v>
      </c>
    </row>
    <row r="38" spans="1:12" x14ac:dyDescent="0.35">
      <c r="A38">
        <v>4</v>
      </c>
      <c r="B38" t="s">
        <v>11</v>
      </c>
      <c r="C38" t="s">
        <v>12</v>
      </c>
      <c r="D38">
        <v>553686978</v>
      </c>
      <c r="E38">
        <v>475</v>
      </c>
      <c r="F38" s="3">
        <v>700.5</v>
      </c>
      <c r="G38">
        <v>0</v>
      </c>
      <c r="H38" s="1" t="s">
        <v>33</v>
      </c>
      <c r="J38" t="s">
        <v>34</v>
      </c>
      <c r="K38" t="s">
        <v>35</v>
      </c>
      <c r="L38" t="s">
        <v>36</v>
      </c>
    </row>
    <row r="39" spans="1:12" x14ac:dyDescent="0.35">
      <c r="A39">
        <v>5</v>
      </c>
      <c r="B39" t="s">
        <v>11</v>
      </c>
      <c r="C39" t="s">
        <v>12</v>
      </c>
      <c r="D39">
        <v>553686978</v>
      </c>
      <c r="E39">
        <v>475</v>
      </c>
      <c r="F39" s="3">
        <v>224.1</v>
      </c>
      <c r="G39">
        <v>0</v>
      </c>
      <c r="H39" s="1" t="s">
        <v>37</v>
      </c>
      <c r="J39" t="s">
        <v>34</v>
      </c>
      <c r="K39" t="s">
        <v>35</v>
      </c>
      <c r="L39" t="s">
        <v>36</v>
      </c>
    </row>
    <row r="40" spans="1:12" x14ac:dyDescent="0.35">
      <c r="A40">
        <v>6</v>
      </c>
      <c r="B40" t="s">
        <v>11</v>
      </c>
      <c r="C40" t="s">
        <v>12</v>
      </c>
      <c r="D40">
        <v>553686978</v>
      </c>
      <c r="E40">
        <v>475</v>
      </c>
      <c r="F40" s="3">
        <v>226.5</v>
      </c>
      <c r="G40">
        <v>0</v>
      </c>
      <c r="H40" s="1" t="s">
        <v>38</v>
      </c>
      <c r="J40" t="s">
        <v>34</v>
      </c>
      <c r="K40" t="s">
        <v>35</v>
      </c>
      <c r="L40" t="s">
        <v>36</v>
      </c>
    </row>
    <row r="41" spans="1:12" x14ac:dyDescent="0.35">
      <c r="A41">
        <v>7</v>
      </c>
      <c r="B41" t="s">
        <v>11</v>
      </c>
      <c r="C41" t="s">
        <v>12</v>
      </c>
      <c r="D41">
        <v>553686978</v>
      </c>
      <c r="E41">
        <v>475</v>
      </c>
      <c r="F41" s="3">
        <v>2106.1999999999998</v>
      </c>
      <c r="G41">
        <v>0</v>
      </c>
      <c r="H41" s="1" t="s">
        <v>39</v>
      </c>
      <c r="J41" t="s">
        <v>34</v>
      </c>
      <c r="K41" t="s">
        <v>35</v>
      </c>
      <c r="L41" t="s">
        <v>36</v>
      </c>
    </row>
    <row r="42" spans="1:12" x14ac:dyDescent="0.35">
      <c r="A42">
        <v>8</v>
      </c>
      <c r="B42" t="s">
        <v>11</v>
      </c>
      <c r="C42" t="s">
        <v>12</v>
      </c>
      <c r="D42">
        <v>553686978</v>
      </c>
      <c r="E42">
        <v>475</v>
      </c>
      <c r="F42" s="3">
        <v>3792</v>
      </c>
      <c r="G42">
        <v>0</v>
      </c>
      <c r="H42" s="1" t="s">
        <v>40</v>
      </c>
      <c r="J42" t="s">
        <v>34</v>
      </c>
      <c r="K42" t="s">
        <v>35</v>
      </c>
      <c r="L42" t="s">
        <v>36</v>
      </c>
    </row>
    <row r="43" spans="1:12" x14ac:dyDescent="0.35">
      <c r="A43">
        <v>9</v>
      </c>
      <c r="B43" t="s">
        <v>11</v>
      </c>
      <c r="C43" t="s">
        <v>12</v>
      </c>
      <c r="D43">
        <v>553686978</v>
      </c>
      <c r="E43">
        <v>475</v>
      </c>
      <c r="F43" s="3">
        <v>619.15</v>
      </c>
      <c r="G43">
        <v>0</v>
      </c>
      <c r="H43" s="1" t="s">
        <v>41</v>
      </c>
      <c r="J43" t="s">
        <v>34</v>
      </c>
      <c r="K43" t="s">
        <v>35</v>
      </c>
      <c r="L43" t="s">
        <v>36</v>
      </c>
    </row>
    <row r="44" spans="1:12" x14ac:dyDescent="0.35">
      <c r="A44">
        <v>10</v>
      </c>
      <c r="B44" t="s">
        <v>11</v>
      </c>
      <c r="C44" t="s">
        <v>12</v>
      </c>
      <c r="D44">
        <v>553686978</v>
      </c>
      <c r="E44">
        <v>475</v>
      </c>
      <c r="F44" s="3">
        <v>33000</v>
      </c>
      <c r="G44">
        <v>0</v>
      </c>
      <c r="H44" s="1" t="s">
        <v>42</v>
      </c>
      <c r="J44" t="s">
        <v>34</v>
      </c>
      <c r="K44" t="s">
        <v>35</v>
      </c>
      <c r="L44" t="s">
        <v>36</v>
      </c>
    </row>
    <row r="45" spans="1:12" x14ac:dyDescent="0.35">
      <c r="A45">
        <v>11</v>
      </c>
      <c r="B45" t="s">
        <v>11</v>
      </c>
      <c r="C45" t="s">
        <v>12</v>
      </c>
      <c r="D45">
        <v>553686978</v>
      </c>
      <c r="E45">
        <v>501</v>
      </c>
      <c r="F45" s="3">
        <v>1044.0999999999999</v>
      </c>
      <c r="G45">
        <v>0</v>
      </c>
      <c r="H45">
        <v>0</v>
      </c>
      <c r="I45" t="s">
        <v>43</v>
      </c>
      <c r="J45" t="s">
        <v>34</v>
      </c>
      <c r="K45" t="s">
        <v>44</v>
      </c>
      <c r="L45" t="s">
        <v>45</v>
      </c>
    </row>
    <row r="46" spans="1:12" x14ac:dyDescent="0.35">
      <c r="A46" t="s">
        <v>79</v>
      </c>
      <c r="E46">
        <f>SUBTOTAL(109,Table1[transaction_code])</f>
        <v>7497</v>
      </c>
      <c r="F46" s="4">
        <f>SUBTOTAL(109,Table1[amount])</f>
        <v>83747.53</v>
      </c>
    </row>
    <row r="49" spans="2:10" x14ac:dyDescent="0.35">
      <c r="F49" s="3">
        <f>SUM(F34:F45)</f>
        <v>83747.53</v>
      </c>
    </row>
    <row r="51" spans="2:10" x14ac:dyDescent="0.35">
      <c r="F51" s="4">
        <f>SUM(F37:F45)</f>
        <v>42358.53</v>
      </c>
    </row>
    <row r="56" spans="2:10" x14ac:dyDescent="0.35">
      <c r="F56" t="s">
        <v>71</v>
      </c>
      <c r="G56">
        <f>FIND(",",F56)</f>
        <v>3</v>
      </c>
      <c r="H56" t="str">
        <f>RIGHT(F56,LEN(F56)-G56)</f>
        <v xml:space="preserve">-13467,-13467/                                                               </v>
      </c>
      <c r="I56">
        <f>FIND(",",H56)</f>
        <v>7</v>
      </c>
      <c r="J56" s="3">
        <f>VALUE(LEFT(H56,I56-1))</f>
        <v>-13467</v>
      </c>
    </row>
    <row r="57" spans="2:10" x14ac:dyDescent="0.35">
      <c r="F57" t="s">
        <v>72</v>
      </c>
      <c r="G57">
        <f t="shared" ref="G57:I59" si="0">FIND(",",F57)</f>
        <v>3</v>
      </c>
      <c r="H57" t="str">
        <f t="shared" ref="H57:H59" si="1">RIGHT(F57,LEN(F57)-G57)</f>
        <v xml:space="preserve">1989,1989/                                                                   </v>
      </c>
      <c r="I57">
        <f t="shared" si="0"/>
        <v>5</v>
      </c>
      <c r="J57" s="3">
        <f>VALUE(LEFT(H57,I57-1))</f>
        <v>1989</v>
      </c>
    </row>
    <row r="58" spans="2:10" x14ac:dyDescent="0.35">
      <c r="F58" t="s">
        <v>73</v>
      </c>
      <c r="G58">
        <f t="shared" si="0"/>
        <v>3</v>
      </c>
      <c r="H58" t="str">
        <f t="shared" si="1"/>
        <v xml:space="preserve">10783011,10783011/                                                           </v>
      </c>
      <c r="I58">
        <f t="shared" si="0"/>
        <v>9</v>
      </c>
      <c r="J58" s="3">
        <f>VALUE(LEFT(H58,I58-1))</f>
        <v>10783011</v>
      </c>
    </row>
    <row r="59" spans="2:10" x14ac:dyDescent="0.35">
      <c r="F59" t="s">
        <v>80</v>
      </c>
      <c r="G59">
        <f t="shared" si="0"/>
        <v>3</v>
      </c>
      <c r="H59" t="str">
        <f t="shared" si="1"/>
        <v xml:space="preserve">2805,2805/                                                                   </v>
      </c>
      <c r="I59">
        <f t="shared" si="0"/>
        <v>5</v>
      </c>
      <c r="J59" s="3">
        <f>VALUE(LEFT(H59,I59-1))</f>
        <v>2805</v>
      </c>
    </row>
    <row r="61" spans="2:10" x14ac:dyDescent="0.35">
      <c r="J61" s="4">
        <f>SUM(J56:J59)</f>
        <v>10774338</v>
      </c>
    </row>
    <row r="64" spans="2:10" x14ac:dyDescent="0.35">
      <c r="B64" s="10"/>
    </row>
    <row r="67" spans="2:5" x14ac:dyDescent="0.35">
      <c r="B67" s="15" t="s">
        <v>81</v>
      </c>
      <c r="C67">
        <f>FIND(",",B67,1)</f>
        <v>3</v>
      </c>
      <c r="D67" t="str">
        <f>LEFT(B67,C67-1)</f>
        <v>99</v>
      </c>
      <c r="E67" t="str">
        <f t="shared" ref="E67:E96" si="2">IF(AND(ISTEXT(D66),ISERROR(D67)),B67,D67)</f>
        <v>99</v>
      </c>
    </row>
    <row r="68" spans="2:5" x14ac:dyDescent="0.35">
      <c r="B68" t="str">
        <f>RIGHT(B67,LEN(B67)-C67)</f>
        <v>211695158,1,188,211691657</v>
      </c>
      <c r="C68">
        <f>FIND(",",B68,1)</f>
        <v>10</v>
      </c>
      <c r="D68" t="str">
        <f>LEFT(B68,C68-1)</f>
        <v>211695158</v>
      </c>
      <c r="E68" t="str">
        <f t="shared" si="2"/>
        <v>211695158</v>
      </c>
    </row>
    <row r="69" spans="2:5" x14ac:dyDescent="0.35">
      <c r="B69" t="str">
        <f t="shared" ref="B69:B98" si="3">RIGHT(B68,LEN(B68)-C68)</f>
        <v>1,188,211691657</v>
      </c>
      <c r="C69">
        <f t="shared" ref="C69:C98" si="4">FIND(",",B69,1)</f>
        <v>2</v>
      </c>
      <c r="D69" t="str">
        <f t="shared" ref="D69:D98" si="5">LEFT(B69,C69-1)</f>
        <v>1</v>
      </c>
      <c r="E69" t="str">
        <f t="shared" si="2"/>
        <v>1</v>
      </c>
    </row>
    <row r="70" spans="2:5" x14ac:dyDescent="0.35">
      <c r="B70" t="str">
        <f t="shared" si="3"/>
        <v>188,211691657</v>
      </c>
      <c r="C70">
        <f t="shared" si="4"/>
        <v>4</v>
      </c>
      <c r="D70" t="str">
        <f t="shared" si="5"/>
        <v>188</v>
      </c>
      <c r="E70" t="str">
        <f t="shared" si="2"/>
        <v>188</v>
      </c>
    </row>
    <row r="71" spans="2:5" x14ac:dyDescent="0.35">
      <c r="B71" t="str">
        <f t="shared" si="3"/>
        <v>211691657</v>
      </c>
      <c r="C71" t="e">
        <f t="shared" si="4"/>
        <v>#VALUE!</v>
      </c>
      <c r="D71" t="e">
        <f t="shared" si="5"/>
        <v>#VALUE!</v>
      </c>
      <c r="E71" t="str">
        <f t="shared" si="2"/>
        <v>211691657</v>
      </c>
    </row>
    <row r="72" spans="2:5" x14ac:dyDescent="0.35">
      <c r="B72" t="e">
        <f t="shared" si="3"/>
        <v>#VALUE!</v>
      </c>
      <c r="C72" t="e">
        <f t="shared" si="4"/>
        <v>#VALUE!</v>
      </c>
      <c r="D72" t="e">
        <f t="shared" si="5"/>
        <v>#VALUE!</v>
      </c>
      <c r="E72" t="e">
        <f t="shared" si="2"/>
        <v>#VALUE!</v>
      </c>
    </row>
    <row r="73" spans="2:5" x14ac:dyDescent="0.35">
      <c r="B73" t="e">
        <f t="shared" si="3"/>
        <v>#VALUE!</v>
      </c>
      <c r="C73" t="e">
        <f t="shared" si="4"/>
        <v>#VALUE!</v>
      </c>
      <c r="D73" t="e">
        <f t="shared" si="5"/>
        <v>#VALUE!</v>
      </c>
      <c r="E73" t="e">
        <f t="shared" si="2"/>
        <v>#VALUE!</v>
      </c>
    </row>
    <row r="74" spans="2:5" x14ac:dyDescent="0.35">
      <c r="B74" t="e">
        <f t="shared" si="3"/>
        <v>#VALUE!</v>
      </c>
      <c r="C74" t="e">
        <f t="shared" si="4"/>
        <v>#VALUE!</v>
      </c>
      <c r="D74" t="e">
        <f t="shared" si="5"/>
        <v>#VALUE!</v>
      </c>
      <c r="E74" t="e">
        <f t="shared" si="2"/>
        <v>#VALUE!</v>
      </c>
    </row>
    <row r="75" spans="2:5" x14ac:dyDescent="0.35">
      <c r="B75" t="e">
        <f t="shared" si="3"/>
        <v>#VALUE!</v>
      </c>
      <c r="C75" t="e">
        <f t="shared" si="4"/>
        <v>#VALUE!</v>
      </c>
      <c r="D75" t="e">
        <f t="shared" si="5"/>
        <v>#VALUE!</v>
      </c>
      <c r="E75" t="e">
        <f t="shared" si="2"/>
        <v>#VALUE!</v>
      </c>
    </row>
    <row r="76" spans="2:5" x14ac:dyDescent="0.35">
      <c r="B76" t="e">
        <f t="shared" si="3"/>
        <v>#VALUE!</v>
      </c>
      <c r="C76" t="e">
        <f t="shared" si="4"/>
        <v>#VALUE!</v>
      </c>
      <c r="D76" t="e">
        <f t="shared" si="5"/>
        <v>#VALUE!</v>
      </c>
      <c r="E76" t="e">
        <f t="shared" si="2"/>
        <v>#VALUE!</v>
      </c>
    </row>
    <row r="77" spans="2:5" x14ac:dyDescent="0.35">
      <c r="B77" t="e">
        <f t="shared" si="3"/>
        <v>#VALUE!</v>
      </c>
      <c r="C77" t="e">
        <f t="shared" si="4"/>
        <v>#VALUE!</v>
      </c>
      <c r="D77" t="e">
        <f t="shared" si="5"/>
        <v>#VALUE!</v>
      </c>
      <c r="E77" t="e">
        <f t="shared" si="2"/>
        <v>#VALUE!</v>
      </c>
    </row>
    <row r="78" spans="2:5" x14ac:dyDescent="0.35">
      <c r="B78" t="e">
        <f t="shared" si="3"/>
        <v>#VALUE!</v>
      </c>
      <c r="C78" t="e">
        <f t="shared" si="4"/>
        <v>#VALUE!</v>
      </c>
      <c r="D78" t="e">
        <f t="shared" si="5"/>
        <v>#VALUE!</v>
      </c>
      <c r="E78" t="e">
        <f t="shared" si="2"/>
        <v>#VALUE!</v>
      </c>
    </row>
    <row r="79" spans="2:5" x14ac:dyDescent="0.35">
      <c r="B79" t="e">
        <f t="shared" si="3"/>
        <v>#VALUE!</v>
      </c>
      <c r="C79" t="e">
        <f t="shared" si="4"/>
        <v>#VALUE!</v>
      </c>
      <c r="D79" t="e">
        <f t="shared" si="5"/>
        <v>#VALUE!</v>
      </c>
      <c r="E79" t="e">
        <f t="shared" si="2"/>
        <v>#VALUE!</v>
      </c>
    </row>
    <row r="80" spans="2:5" x14ac:dyDescent="0.35">
      <c r="B80" t="e">
        <f t="shared" si="3"/>
        <v>#VALUE!</v>
      </c>
      <c r="C80" t="e">
        <f t="shared" si="4"/>
        <v>#VALUE!</v>
      </c>
      <c r="D80" t="e">
        <f t="shared" si="5"/>
        <v>#VALUE!</v>
      </c>
      <c r="E80" t="e">
        <f t="shared" si="2"/>
        <v>#VALUE!</v>
      </c>
    </row>
    <row r="81" spans="2:5" x14ac:dyDescent="0.35">
      <c r="B81" t="e">
        <f t="shared" si="3"/>
        <v>#VALUE!</v>
      </c>
      <c r="C81" t="e">
        <f t="shared" si="4"/>
        <v>#VALUE!</v>
      </c>
      <c r="D81" t="e">
        <f t="shared" si="5"/>
        <v>#VALUE!</v>
      </c>
      <c r="E81" t="e">
        <f t="shared" si="2"/>
        <v>#VALUE!</v>
      </c>
    </row>
    <row r="82" spans="2:5" x14ac:dyDescent="0.35">
      <c r="B82" t="e">
        <f t="shared" si="3"/>
        <v>#VALUE!</v>
      </c>
      <c r="C82" t="e">
        <f t="shared" si="4"/>
        <v>#VALUE!</v>
      </c>
      <c r="D82" t="e">
        <f t="shared" si="5"/>
        <v>#VALUE!</v>
      </c>
      <c r="E82" t="e">
        <f t="shared" si="2"/>
        <v>#VALUE!</v>
      </c>
    </row>
    <row r="83" spans="2:5" x14ac:dyDescent="0.35">
      <c r="B83" t="e">
        <f t="shared" si="3"/>
        <v>#VALUE!</v>
      </c>
      <c r="C83" t="e">
        <f t="shared" si="4"/>
        <v>#VALUE!</v>
      </c>
      <c r="D83" t="e">
        <f t="shared" si="5"/>
        <v>#VALUE!</v>
      </c>
      <c r="E83" t="e">
        <f t="shared" si="2"/>
        <v>#VALUE!</v>
      </c>
    </row>
    <row r="84" spans="2:5" x14ac:dyDescent="0.35">
      <c r="B84" t="e">
        <f t="shared" si="3"/>
        <v>#VALUE!</v>
      </c>
      <c r="C84" t="e">
        <f t="shared" si="4"/>
        <v>#VALUE!</v>
      </c>
      <c r="D84" t="e">
        <f t="shared" si="5"/>
        <v>#VALUE!</v>
      </c>
      <c r="E84" t="e">
        <f t="shared" si="2"/>
        <v>#VALUE!</v>
      </c>
    </row>
    <row r="85" spans="2:5" x14ac:dyDescent="0.35">
      <c r="B85" t="e">
        <f t="shared" si="3"/>
        <v>#VALUE!</v>
      </c>
      <c r="C85" t="e">
        <f t="shared" si="4"/>
        <v>#VALUE!</v>
      </c>
      <c r="D85" t="e">
        <f t="shared" si="5"/>
        <v>#VALUE!</v>
      </c>
      <c r="E85" t="e">
        <f t="shared" si="2"/>
        <v>#VALUE!</v>
      </c>
    </row>
    <row r="86" spans="2:5" x14ac:dyDescent="0.35">
      <c r="B86" t="e">
        <f t="shared" si="3"/>
        <v>#VALUE!</v>
      </c>
      <c r="C86" t="e">
        <f t="shared" si="4"/>
        <v>#VALUE!</v>
      </c>
      <c r="D86" t="e">
        <f t="shared" si="5"/>
        <v>#VALUE!</v>
      </c>
      <c r="E86" t="e">
        <f t="shared" si="2"/>
        <v>#VALUE!</v>
      </c>
    </row>
    <row r="87" spans="2:5" x14ac:dyDescent="0.35">
      <c r="B87" t="e">
        <f t="shared" si="3"/>
        <v>#VALUE!</v>
      </c>
      <c r="C87" t="e">
        <f t="shared" si="4"/>
        <v>#VALUE!</v>
      </c>
      <c r="D87" t="e">
        <f t="shared" si="5"/>
        <v>#VALUE!</v>
      </c>
      <c r="E87" t="e">
        <f t="shared" si="2"/>
        <v>#VALUE!</v>
      </c>
    </row>
    <row r="88" spans="2:5" x14ac:dyDescent="0.35">
      <c r="B88" t="e">
        <f t="shared" si="3"/>
        <v>#VALUE!</v>
      </c>
      <c r="C88" t="e">
        <f t="shared" si="4"/>
        <v>#VALUE!</v>
      </c>
      <c r="D88" t="e">
        <f t="shared" si="5"/>
        <v>#VALUE!</v>
      </c>
      <c r="E88" t="e">
        <f t="shared" si="2"/>
        <v>#VALUE!</v>
      </c>
    </row>
    <row r="89" spans="2:5" x14ac:dyDescent="0.35">
      <c r="B89" t="e">
        <f t="shared" si="3"/>
        <v>#VALUE!</v>
      </c>
      <c r="C89" t="e">
        <f t="shared" si="4"/>
        <v>#VALUE!</v>
      </c>
      <c r="D89" t="e">
        <f t="shared" si="5"/>
        <v>#VALUE!</v>
      </c>
      <c r="E89" t="e">
        <f t="shared" si="2"/>
        <v>#VALUE!</v>
      </c>
    </row>
    <row r="90" spans="2:5" x14ac:dyDescent="0.35">
      <c r="B90" t="e">
        <f t="shared" si="3"/>
        <v>#VALUE!</v>
      </c>
      <c r="C90" t="e">
        <f t="shared" si="4"/>
        <v>#VALUE!</v>
      </c>
      <c r="D90" t="e">
        <f t="shared" si="5"/>
        <v>#VALUE!</v>
      </c>
      <c r="E90" t="e">
        <f t="shared" si="2"/>
        <v>#VALUE!</v>
      </c>
    </row>
    <row r="91" spans="2:5" x14ac:dyDescent="0.35">
      <c r="B91" t="e">
        <f t="shared" si="3"/>
        <v>#VALUE!</v>
      </c>
      <c r="C91" t="e">
        <f t="shared" si="4"/>
        <v>#VALUE!</v>
      </c>
      <c r="D91" t="e">
        <f t="shared" si="5"/>
        <v>#VALUE!</v>
      </c>
      <c r="E91" t="e">
        <f t="shared" si="2"/>
        <v>#VALUE!</v>
      </c>
    </row>
    <row r="92" spans="2:5" x14ac:dyDescent="0.35">
      <c r="B92" t="e">
        <f t="shared" si="3"/>
        <v>#VALUE!</v>
      </c>
      <c r="C92" t="e">
        <f t="shared" si="4"/>
        <v>#VALUE!</v>
      </c>
      <c r="D92" t="e">
        <f t="shared" si="5"/>
        <v>#VALUE!</v>
      </c>
      <c r="E92" t="e">
        <f t="shared" si="2"/>
        <v>#VALUE!</v>
      </c>
    </row>
    <row r="93" spans="2:5" x14ac:dyDescent="0.35">
      <c r="B93" t="e">
        <f t="shared" si="3"/>
        <v>#VALUE!</v>
      </c>
      <c r="C93" t="e">
        <f t="shared" si="4"/>
        <v>#VALUE!</v>
      </c>
      <c r="D93" t="e">
        <f t="shared" si="5"/>
        <v>#VALUE!</v>
      </c>
      <c r="E93" t="e">
        <f t="shared" si="2"/>
        <v>#VALUE!</v>
      </c>
    </row>
    <row r="94" spans="2:5" x14ac:dyDescent="0.35">
      <c r="B94" t="e">
        <f t="shared" si="3"/>
        <v>#VALUE!</v>
      </c>
      <c r="C94" t="e">
        <f t="shared" si="4"/>
        <v>#VALUE!</v>
      </c>
      <c r="D94" t="e">
        <f t="shared" si="5"/>
        <v>#VALUE!</v>
      </c>
      <c r="E94" t="e">
        <f t="shared" si="2"/>
        <v>#VALUE!</v>
      </c>
    </row>
    <row r="95" spans="2:5" x14ac:dyDescent="0.35">
      <c r="B95" t="e">
        <f t="shared" si="3"/>
        <v>#VALUE!</v>
      </c>
      <c r="C95" t="e">
        <f t="shared" si="4"/>
        <v>#VALUE!</v>
      </c>
      <c r="D95" t="e">
        <f t="shared" si="5"/>
        <v>#VALUE!</v>
      </c>
      <c r="E95" t="e">
        <f t="shared" si="2"/>
        <v>#VALUE!</v>
      </c>
    </row>
    <row r="96" spans="2:5" x14ac:dyDescent="0.35">
      <c r="B96" t="e">
        <f t="shared" si="3"/>
        <v>#VALUE!</v>
      </c>
      <c r="C96" t="e">
        <f t="shared" si="4"/>
        <v>#VALUE!</v>
      </c>
      <c r="D96" t="e">
        <f t="shared" si="5"/>
        <v>#VALUE!</v>
      </c>
      <c r="E96" t="e">
        <f t="shared" si="2"/>
        <v>#VALUE!</v>
      </c>
    </row>
    <row r="97" spans="2:33" x14ac:dyDescent="0.35">
      <c r="B97" t="e">
        <f t="shared" si="3"/>
        <v>#VALUE!</v>
      </c>
      <c r="C97" t="e">
        <f t="shared" si="4"/>
        <v>#VALUE!</v>
      </c>
      <c r="D97" t="e">
        <f t="shared" si="5"/>
        <v>#VALUE!</v>
      </c>
      <c r="E97" t="e">
        <f>IF(AND(ISTEXT(D96),ISERROR(D97)),B97,D97)</f>
        <v>#VALUE!</v>
      </c>
    </row>
    <row r="98" spans="2:33" x14ac:dyDescent="0.35">
      <c r="B98" t="e">
        <f t="shared" si="3"/>
        <v>#VALUE!</v>
      </c>
      <c r="C98" t="e">
        <f t="shared" si="4"/>
        <v>#VALUE!</v>
      </c>
      <c r="D98" t="e">
        <f t="shared" si="5"/>
        <v>#VALUE!</v>
      </c>
      <c r="E98" t="e">
        <f t="shared" ref="E98" si="6">IF(AND(ISTEXT(D97),ISERROR(D98)),B98,D98)</f>
        <v>#VALUE!</v>
      </c>
    </row>
    <row r="101" spans="2:33" x14ac:dyDescent="0.35">
      <c r="B101" t="s">
        <v>175</v>
      </c>
    </row>
    <row r="102" spans="2:33" x14ac:dyDescent="0.35">
      <c r="B102" t="s">
        <v>70</v>
      </c>
      <c r="C102" t="s">
        <v>75</v>
      </c>
      <c r="D102" t="s">
        <v>103</v>
      </c>
      <c r="E102" t="s">
        <v>104</v>
      </c>
      <c r="F102" t="s">
        <v>105</v>
      </c>
      <c r="G102" t="s">
        <v>106</v>
      </c>
      <c r="H102" t="s">
        <v>107</v>
      </c>
      <c r="I102" t="s">
        <v>108</v>
      </c>
      <c r="J102" t="s">
        <v>109</v>
      </c>
      <c r="K102" t="s">
        <v>110</v>
      </c>
      <c r="L102" t="s">
        <v>111</v>
      </c>
      <c r="M102" t="s">
        <v>112</v>
      </c>
      <c r="N102" t="s">
        <v>113</v>
      </c>
      <c r="O102" t="s">
        <v>114</v>
      </c>
      <c r="P102" t="s">
        <v>115</v>
      </c>
      <c r="Q102" s="3" t="s">
        <v>116</v>
      </c>
      <c r="R102" t="s">
        <v>117</v>
      </c>
      <c r="S102" t="s">
        <v>118</v>
      </c>
      <c r="T102" t="s">
        <v>119</v>
      </c>
      <c r="U102" t="s">
        <v>120</v>
      </c>
      <c r="V102" t="s">
        <v>121</v>
      </c>
      <c r="W102" t="s">
        <v>122</v>
      </c>
      <c r="X102" t="s">
        <v>123</v>
      </c>
      <c r="Y102" t="s">
        <v>124</v>
      </c>
      <c r="Z102" t="s">
        <v>125</v>
      </c>
      <c r="AA102" t="s">
        <v>126</v>
      </c>
      <c r="AB102" t="s">
        <v>127</v>
      </c>
      <c r="AC102" t="s">
        <v>128</v>
      </c>
      <c r="AD102" t="s">
        <v>129</v>
      </c>
      <c r="AE102" t="s">
        <v>130</v>
      </c>
      <c r="AF102" t="s">
        <v>131</v>
      </c>
    </row>
    <row r="103" spans="2:33" x14ac:dyDescent="0.35">
      <c r="B103" t="s">
        <v>132</v>
      </c>
      <c r="C103" t="s">
        <v>133</v>
      </c>
      <c r="D103" t="s">
        <v>58</v>
      </c>
      <c r="E103" t="s">
        <v>134</v>
      </c>
      <c r="F103" t="s">
        <v>135</v>
      </c>
      <c r="G103" t="s">
        <v>136</v>
      </c>
      <c r="H103" t="s">
        <v>137</v>
      </c>
      <c r="I103" t="s">
        <v>137</v>
      </c>
      <c r="J103" s="11"/>
      <c r="K103" s="11"/>
      <c r="L103" s="11"/>
      <c r="M103" s="11"/>
      <c r="N103" s="11"/>
      <c r="O103" s="11"/>
      <c r="P103" s="11"/>
      <c r="Q103" s="12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2:33" x14ac:dyDescent="0.35">
      <c r="B104" s="11" t="s">
        <v>138</v>
      </c>
      <c r="C104" s="11" t="s">
        <v>58</v>
      </c>
      <c r="D104" s="11" t="s">
        <v>66</v>
      </c>
      <c r="E104" s="11" t="s">
        <v>136</v>
      </c>
      <c r="F104" s="11" t="s">
        <v>139</v>
      </c>
      <c r="G104" s="11" t="s">
        <v>67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2:33" x14ac:dyDescent="0.35">
      <c r="B105" s="13" t="s">
        <v>82</v>
      </c>
      <c r="C105" s="13" t="s">
        <v>140</v>
      </c>
      <c r="D105" s="13" t="s">
        <v>13</v>
      </c>
      <c r="E105" s="13" t="s">
        <v>84</v>
      </c>
      <c r="F105" s="13" t="s">
        <v>141</v>
      </c>
      <c r="G105" s="13" t="s">
        <v>86</v>
      </c>
      <c r="H105" s="13" t="s">
        <v>94</v>
      </c>
      <c r="I105" s="13" t="s">
        <v>88</v>
      </c>
      <c r="J105" s="13" t="s">
        <v>94</v>
      </c>
      <c r="K105" s="13" t="s">
        <v>89</v>
      </c>
      <c r="L105" s="13" t="s">
        <v>94</v>
      </c>
      <c r="M105" s="13" t="s">
        <v>91</v>
      </c>
      <c r="N105" s="13" t="s">
        <v>94</v>
      </c>
      <c r="O105" s="13" t="s">
        <v>93</v>
      </c>
      <c r="P105" s="13" t="s">
        <v>94</v>
      </c>
      <c r="Q105" s="14" t="s">
        <v>95</v>
      </c>
      <c r="R105" s="13" t="s">
        <v>94</v>
      </c>
      <c r="S105" s="13" t="s">
        <v>96</v>
      </c>
      <c r="T105" s="13" t="s">
        <v>94</v>
      </c>
      <c r="U105" s="13" t="s">
        <v>97</v>
      </c>
      <c r="V105" s="13" t="s">
        <v>94</v>
      </c>
      <c r="W105" s="13" t="s">
        <v>98</v>
      </c>
      <c r="X105" s="13" t="s">
        <v>94</v>
      </c>
      <c r="Y105" s="13" t="s">
        <v>99</v>
      </c>
      <c r="Z105" s="13" t="s">
        <v>94</v>
      </c>
      <c r="AA105" s="13" t="s">
        <v>100</v>
      </c>
      <c r="AB105" s="13" t="s">
        <v>94</v>
      </c>
      <c r="AC105" s="13" t="s">
        <v>101</v>
      </c>
      <c r="AD105" s="13" t="s">
        <v>94</v>
      </c>
      <c r="AE105" s="13" t="s">
        <v>102</v>
      </c>
      <c r="AF105" s="13" t="s">
        <v>94</v>
      </c>
    </row>
    <row r="106" spans="2:33" x14ac:dyDescent="0.35">
      <c r="B106" s="11" t="s">
        <v>142</v>
      </c>
      <c r="C106" s="11" t="s">
        <v>143</v>
      </c>
      <c r="D106" s="11" t="s">
        <v>143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2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2:33" x14ac:dyDescent="0.35">
      <c r="B107" s="11" t="s">
        <v>82</v>
      </c>
      <c r="C107" s="11" t="s">
        <v>144</v>
      </c>
      <c r="D107" s="11" t="s">
        <v>13</v>
      </c>
      <c r="E107" s="11" t="s">
        <v>84</v>
      </c>
      <c r="F107" s="11" t="s">
        <v>145</v>
      </c>
      <c r="G107" s="11" t="s">
        <v>86</v>
      </c>
      <c r="H107" s="11" t="s">
        <v>94</v>
      </c>
      <c r="I107" s="11" t="s">
        <v>88</v>
      </c>
      <c r="J107" s="11" t="s">
        <v>94</v>
      </c>
      <c r="K107" s="11" t="s">
        <v>89</v>
      </c>
      <c r="L107" s="11" t="s">
        <v>94</v>
      </c>
      <c r="M107" s="11" t="s">
        <v>91</v>
      </c>
      <c r="N107" s="11" t="s">
        <v>94</v>
      </c>
      <c r="O107" s="11" t="s">
        <v>93</v>
      </c>
      <c r="P107" s="11" t="s">
        <v>94</v>
      </c>
      <c r="Q107" s="12" t="s">
        <v>95</v>
      </c>
      <c r="R107" s="11" t="s">
        <v>94</v>
      </c>
      <c r="S107" s="11" t="s">
        <v>96</v>
      </c>
      <c r="T107" s="11" t="s">
        <v>94</v>
      </c>
      <c r="U107" s="11" t="s">
        <v>97</v>
      </c>
      <c r="V107" s="11" t="s">
        <v>94</v>
      </c>
      <c r="W107" s="11" t="s">
        <v>98</v>
      </c>
      <c r="X107" s="11" t="s">
        <v>94</v>
      </c>
      <c r="Y107" s="11" t="s">
        <v>99</v>
      </c>
      <c r="Z107" s="11" t="s">
        <v>94</v>
      </c>
      <c r="AA107" s="11" t="s">
        <v>100</v>
      </c>
      <c r="AB107" s="11" t="s">
        <v>94</v>
      </c>
      <c r="AC107" s="11" t="s">
        <v>101</v>
      </c>
      <c r="AD107" s="11" t="s">
        <v>94</v>
      </c>
      <c r="AE107" s="11" t="s">
        <v>102</v>
      </c>
      <c r="AF107" s="11" t="s">
        <v>94</v>
      </c>
    </row>
    <row r="108" spans="2:33" x14ac:dyDescent="0.35">
      <c r="B108" s="13" t="s">
        <v>142</v>
      </c>
      <c r="C108" s="13" t="s">
        <v>145</v>
      </c>
      <c r="D108" s="13" t="s">
        <v>145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2:33" x14ac:dyDescent="0.35">
      <c r="B109" s="13" t="s">
        <v>82</v>
      </c>
      <c r="C109" s="13" t="s">
        <v>83</v>
      </c>
      <c r="D109" s="13" t="s">
        <v>13</v>
      </c>
      <c r="E109" s="13" t="s">
        <v>84</v>
      </c>
      <c r="F109" s="13" t="s">
        <v>85</v>
      </c>
      <c r="G109" s="13" t="s">
        <v>86</v>
      </c>
      <c r="H109" s="13" t="s">
        <v>87</v>
      </c>
      <c r="I109" s="13" t="s">
        <v>88</v>
      </c>
      <c r="J109" s="13" t="s">
        <v>86</v>
      </c>
      <c r="K109" s="13" t="s">
        <v>89</v>
      </c>
      <c r="L109" s="13" t="s">
        <v>90</v>
      </c>
      <c r="M109" s="13" t="s">
        <v>91</v>
      </c>
      <c r="N109" s="13" t="s">
        <v>92</v>
      </c>
      <c r="O109" s="13" t="s">
        <v>93</v>
      </c>
      <c r="P109" s="13" t="s">
        <v>94</v>
      </c>
      <c r="Q109" s="14" t="s">
        <v>95</v>
      </c>
      <c r="R109" s="13" t="s">
        <v>94</v>
      </c>
      <c r="S109" s="13" t="s">
        <v>96</v>
      </c>
      <c r="T109" s="13" t="s">
        <v>94</v>
      </c>
      <c r="U109" s="13" t="s">
        <v>97</v>
      </c>
      <c r="V109" s="13" t="s">
        <v>94</v>
      </c>
      <c r="W109" s="13" t="s">
        <v>98</v>
      </c>
      <c r="X109" s="13" t="s">
        <v>94</v>
      </c>
      <c r="Y109" s="13" t="s">
        <v>99</v>
      </c>
      <c r="Z109" s="13" t="s">
        <v>94</v>
      </c>
      <c r="AA109" s="13" t="s">
        <v>100</v>
      </c>
      <c r="AB109" s="13" t="s">
        <v>94</v>
      </c>
      <c r="AC109" s="13" t="s">
        <v>101</v>
      </c>
      <c r="AD109" s="13" t="s">
        <v>94</v>
      </c>
      <c r="AE109" s="13" t="s">
        <v>102</v>
      </c>
      <c r="AF109" s="13" t="s">
        <v>94</v>
      </c>
    </row>
    <row r="110" spans="2:33" x14ac:dyDescent="0.35">
      <c r="B110" s="13" t="s">
        <v>146</v>
      </c>
      <c r="C110" s="13" t="s">
        <v>147</v>
      </c>
      <c r="D110" s="13" t="s">
        <v>148</v>
      </c>
      <c r="E110" s="13" t="s">
        <v>149</v>
      </c>
      <c r="F110" s="13" t="s">
        <v>22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2:33" x14ac:dyDescent="0.35">
      <c r="B111" s="11" t="s">
        <v>146</v>
      </c>
      <c r="C111" s="11" t="s">
        <v>150</v>
      </c>
      <c r="D111" s="11" t="s">
        <v>151</v>
      </c>
      <c r="E111" s="11" t="s">
        <v>149</v>
      </c>
      <c r="F111" s="11" t="s">
        <v>149</v>
      </c>
      <c r="G111" s="11" t="s">
        <v>152</v>
      </c>
      <c r="H111" s="11" t="s">
        <v>153</v>
      </c>
      <c r="I111" s="11"/>
      <c r="J111" s="11"/>
      <c r="K111" s="11"/>
      <c r="L111" s="11"/>
      <c r="M111" s="11"/>
      <c r="N111" s="11"/>
      <c r="O111" s="11"/>
      <c r="P111" s="11"/>
      <c r="Q111" s="1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2:33" x14ac:dyDescent="0.35">
      <c r="B112" s="11" t="s">
        <v>146</v>
      </c>
      <c r="C112" s="11" t="s">
        <v>150</v>
      </c>
      <c r="D112" s="11" t="s">
        <v>154</v>
      </c>
      <c r="E112" s="11" t="s">
        <v>149</v>
      </c>
      <c r="F112" s="11" t="s">
        <v>28</v>
      </c>
      <c r="G112" s="11" t="s">
        <v>152</v>
      </c>
      <c r="H112" s="11" t="s">
        <v>155</v>
      </c>
      <c r="I112" s="11"/>
      <c r="J112" s="11"/>
      <c r="K112" s="11"/>
      <c r="L112" s="11"/>
      <c r="M112" s="11"/>
      <c r="N112" s="11"/>
      <c r="O112" s="11"/>
      <c r="P112" s="11"/>
      <c r="Q112" s="12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2:32" x14ac:dyDescent="0.35">
      <c r="B113" s="11" t="s">
        <v>146</v>
      </c>
      <c r="C113" s="11" t="s">
        <v>156</v>
      </c>
      <c r="D113" s="11" t="s">
        <v>87</v>
      </c>
      <c r="E113" s="11" t="s">
        <v>149</v>
      </c>
      <c r="F113" s="11" t="s">
        <v>149</v>
      </c>
      <c r="G113" s="11" t="s">
        <v>30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2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2:32" x14ac:dyDescent="0.35">
      <c r="B114" s="11" t="s">
        <v>146</v>
      </c>
      <c r="C114" s="11" t="s">
        <v>157</v>
      </c>
      <c r="D114" s="11" t="s">
        <v>158</v>
      </c>
      <c r="E114" s="11" t="s">
        <v>149</v>
      </c>
      <c r="F114" s="11" t="s">
        <v>33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2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2:32" x14ac:dyDescent="0.35">
      <c r="B115" s="11" t="s">
        <v>146</v>
      </c>
      <c r="C115" s="11" t="s">
        <v>157</v>
      </c>
      <c r="D115" s="11" t="s">
        <v>159</v>
      </c>
      <c r="E115" s="11" t="s">
        <v>149</v>
      </c>
      <c r="F115" s="11" t="s">
        <v>37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2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2:32" x14ac:dyDescent="0.35">
      <c r="B116" s="11" t="s">
        <v>146</v>
      </c>
      <c r="C116" s="11" t="s">
        <v>157</v>
      </c>
      <c r="D116" s="11" t="s">
        <v>160</v>
      </c>
      <c r="E116" s="11" t="s">
        <v>149</v>
      </c>
      <c r="F116" s="11" t="s">
        <v>38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2:32" x14ac:dyDescent="0.35">
      <c r="B117" s="13" t="s">
        <v>146</v>
      </c>
      <c r="C117" s="13" t="s">
        <v>157</v>
      </c>
      <c r="D117" s="13" t="s">
        <v>161</v>
      </c>
      <c r="E117" s="13" t="s">
        <v>149</v>
      </c>
      <c r="F117" s="13" t="s">
        <v>39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2:32" x14ac:dyDescent="0.35">
      <c r="B118" s="13" t="s">
        <v>146</v>
      </c>
      <c r="C118" s="13" t="s">
        <v>157</v>
      </c>
      <c r="D118" s="13" t="s">
        <v>162</v>
      </c>
      <c r="E118" s="13" t="s">
        <v>149</v>
      </c>
      <c r="F118" s="13" t="s">
        <v>40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2:32" x14ac:dyDescent="0.35">
      <c r="B119" s="13" t="s">
        <v>146</v>
      </c>
      <c r="C119" s="13" t="s">
        <v>157</v>
      </c>
      <c r="D119" s="13" t="s">
        <v>163</v>
      </c>
      <c r="E119" s="13" t="s">
        <v>149</v>
      </c>
      <c r="F119" s="13" t="s">
        <v>41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2:32" x14ac:dyDescent="0.35">
      <c r="B120" s="13" t="s">
        <v>146</v>
      </c>
      <c r="C120" s="13" t="s">
        <v>157</v>
      </c>
      <c r="D120" s="13" t="s">
        <v>164</v>
      </c>
      <c r="E120" s="13" t="s">
        <v>149</v>
      </c>
      <c r="F120" s="13" t="s">
        <v>42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2:32" x14ac:dyDescent="0.35">
      <c r="B121" s="13" t="s">
        <v>146</v>
      </c>
      <c r="C121" s="13" t="s">
        <v>95</v>
      </c>
      <c r="D121" s="13" t="s">
        <v>165</v>
      </c>
      <c r="E121" s="13" t="s">
        <v>149</v>
      </c>
      <c r="F121" s="13" t="s">
        <v>149</v>
      </c>
      <c r="G121" s="13" t="s">
        <v>43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4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2:32" x14ac:dyDescent="0.35">
      <c r="B122" s="11" t="s">
        <v>142</v>
      </c>
      <c r="C122" s="11" t="s">
        <v>166</v>
      </c>
      <c r="D122" s="11" t="s">
        <v>166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2:32" x14ac:dyDescent="0.35">
      <c r="B123" s="11" t="s">
        <v>82</v>
      </c>
      <c r="C123" s="11" t="s">
        <v>167</v>
      </c>
      <c r="D123" s="11" t="s">
        <v>13</v>
      </c>
      <c r="E123" s="11" t="s">
        <v>84</v>
      </c>
      <c r="F123" s="11" t="s">
        <v>168</v>
      </c>
      <c r="G123" s="11" t="s">
        <v>86</v>
      </c>
      <c r="H123" s="11" t="s">
        <v>94</v>
      </c>
      <c r="I123" s="11" t="s">
        <v>88</v>
      </c>
      <c r="J123" s="11" t="s">
        <v>94</v>
      </c>
      <c r="K123" s="11" t="s">
        <v>89</v>
      </c>
      <c r="L123" s="11" t="s">
        <v>94</v>
      </c>
      <c r="M123" s="11" t="s">
        <v>91</v>
      </c>
      <c r="N123" s="11" t="s">
        <v>94</v>
      </c>
      <c r="O123" s="11" t="s">
        <v>93</v>
      </c>
      <c r="P123" s="11" t="s">
        <v>94</v>
      </c>
      <c r="Q123" s="12" t="s">
        <v>95</v>
      </c>
      <c r="R123" s="11" t="s">
        <v>94</v>
      </c>
      <c r="S123" s="11" t="s">
        <v>96</v>
      </c>
      <c r="T123" s="11" t="s">
        <v>94</v>
      </c>
      <c r="U123" s="11" t="s">
        <v>97</v>
      </c>
      <c r="V123" s="11" t="s">
        <v>94</v>
      </c>
      <c r="W123" s="11" t="s">
        <v>98</v>
      </c>
      <c r="X123" s="11" t="s">
        <v>94</v>
      </c>
      <c r="Y123" s="11" t="s">
        <v>99</v>
      </c>
      <c r="Z123" s="11" t="s">
        <v>94</v>
      </c>
      <c r="AA123" s="11" t="s">
        <v>100</v>
      </c>
      <c r="AB123" s="11" t="s">
        <v>94</v>
      </c>
      <c r="AC123" s="11" t="s">
        <v>101</v>
      </c>
      <c r="AD123" s="11" t="s">
        <v>94</v>
      </c>
      <c r="AE123" s="11" t="s">
        <v>102</v>
      </c>
      <c r="AF123" s="11" t="s">
        <v>94</v>
      </c>
    </row>
    <row r="124" spans="2:32" x14ac:dyDescent="0.35">
      <c r="B124" s="13" t="s">
        <v>142</v>
      </c>
      <c r="C124" s="13" t="s">
        <v>168</v>
      </c>
      <c r="D124" s="13" t="s">
        <v>168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2:32" x14ac:dyDescent="0.35">
      <c r="B125" s="11" t="s">
        <v>169</v>
      </c>
      <c r="C125" s="11" t="s">
        <v>170</v>
      </c>
      <c r="D125" s="11" t="s">
        <v>171</v>
      </c>
      <c r="E125" s="11" t="s">
        <v>172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2:32" x14ac:dyDescent="0.35">
      <c r="B126" s="11" t="s">
        <v>173</v>
      </c>
      <c r="C126" s="11" t="s">
        <v>170</v>
      </c>
      <c r="D126" s="11" t="s">
        <v>136</v>
      </c>
      <c r="E126" s="11" t="s">
        <v>174</v>
      </c>
      <c r="F126" s="11" t="s">
        <v>172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2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8" spans="2:32" x14ac:dyDescent="0.35">
      <c r="B128" t="s">
        <v>176</v>
      </c>
    </row>
    <row r="129" spans="2:32" x14ac:dyDescent="0.35">
      <c r="B129" t="s">
        <v>70</v>
      </c>
      <c r="C129" t="s">
        <v>75</v>
      </c>
      <c r="D129" t="s">
        <v>103</v>
      </c>
      <c r="E129" t="s">
        <v>104</v>
      </c>
      <c r="F129" t="s">
        <v>105</v>
      </c>
      <c r="G129" t="s">
        <v>106</v>
      </c>
      <c r="H129" t="s">
        <v>107</v>
      </c>
      <c r="I129" t="s">
        <v>108</v>
      </c>
      <c r="J129" t="s">
        <v>109</v>
      </c>
      <c r="K129" t="s">
        <v>110</v>
      </c>
      <c r="L129" t="s">
        <v>111</v>
      </c>
      <c r="M129" t="s">
        <v>112</v>
      </c>
      <c r="N129" t="s">
        <v>113</v>
      </c>
      <c r="O129" t="s">
        <v>114</v>
      </c>
      <c r="P129" t="s">
        <v>115</v>
      </c>
      <c r="Q129" s="3" t="s">
        <v>116</v>
      </c>
      <c r="R129" t="s">
        <v>117</v>
      </c>
      <c r="S129" t="s">
        <v>118</v>
      </c>
      <c r="T129" t="s">
        <v>119</v>
      </c>
      <c r="U129" t="s">
        <v>120</v>
      </c>
      <c r="V129" t="s">
        <v>121</v>
      </c>
      <c r="W129" t="s">
        <v>122</v>
      </c>
      <c r="X129" t="s">
        <v>123</v>
      </c>
      <c r="Y129" t="s">
        <v>124</v>
      </c>
      <c r="Z129" t="s">
        <v>125</v>
      </c>
      <c r="AA129" t="s">
        <v>126</v>
      </c>
      <c r="AB129" t="s">
        <v>127</v>
      </c>
      <c r="AC129" t="s">
        <v>128</v>
      </c>
      <c r="AD129" t="s">
        <v>129</v>
      </c>
      <c r="AE129" t="s">
        <v>130</v>
      </c>
      <c r="AF129" t="s">
        <v>131</v>
      </c>
    </row>
    <row r="130" spans="2:32" x14ac:dyDescent="0.35">
      <c r="B130">
        <v>1</v>
      </c>
      <c r="C130" t="s">
        <v>133</v>
      </c>
      <c r="D130" t="s">
        <v>58</v>
      </c>
      <c r="E130">
        <v>120725</v>
      </c>
      <c r="F130">
        <v>400</v>
      </c>
      <c r="G130">
        <v>1</v>
      </c>
      <c r="H130">
        <v>78</v>
      </c>
      <c r="I130">
        <v>78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2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</row>
    <row r="131" spans="2:32" x14ac:dyDescent="0.35">
      <c r="B131" s="11">
        <v>2</v>
      </c>
      <c r="C131" s="11" t="s">
        <v>58</v>
      </c>
      <c r="D131" s="11" t="s">
        <v>66</v>
      </c>
      <c r="E131" s="11">
        <v>1</v>
      </c>
      <c r="F131" s="11">
        <v>120724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2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</row>
    <row r="132" spans="2:32" x14ac:dyDescent="0.35">
      <c r="B132" s="13">
        <v>3</v>
      </c>
      <c r="C132" s="13">
        <v>594481027</v>
      </c>
      <c r="D132" s="13" t="s">
        <v>13</v>
      </c>
      <c r="E132" s="13">
        <v>15</v>
      </c>
      <c r="F132" s="13" t="s">
        <v>141</v>
      </c>
      <c r="G132" s="13">
        <v>100</v>
      </c>
      <c r="H132" s="13">
        <v>0</v>
      </c>
      <c r="I132" s="13">
        <v>102</v>
      </c>
      <c r="J132" s="13">
        <v>0</v>
      </c>
      <c r="K132" s="13">
        <v>400</v>
      </c>
      <c r="L132" s="13">
        <v>0</v>
      </c>
      <c r="M132" s="13">
        <v>402</v>
      </c>
      <c r="N132" s="13">
        <v>0</v>
      </c>
      <c r="O132" s="13">
        <v>500</v>
      </c>
      <c r="P132" s="13">
        <v>0</v>
      </c>
      <c r="Q132" s="14">
        <v>501</v>
      </c>
      <c r="R132" s="13">
        <v>0</v>
      </c>
      <c r="S132" s="13">
        <v>502</v>
      </c>
      <c r="T132" s="13">
        <v>0</v>
      </c>
      <c r="U132" s="13">
        <v>503</v>
      </c>
      <c r="V132" s="13">
        <v>0</v>
      </c>
      <c r="W132" s="13">
        <v>965</v>
      </c>
      <c r="X132" s="13">
        <v>0</v>
      </c>
      <c r="Y132" s="13">
        <v>966</v>
      </c>
      <c r="Z132" s="13">
        <v>0</v>
      </c>
      <c r="AA132" s="13">
        <v>967</v>
      </c>
      <c r="AB132" s="13">
        <v>0</v>
      </c>
      <c r="AC132" s="13">
        <v>968</v>
      </c>
      <c r="AD132" s="13">
        <v>0</v>
      </c>
      <c r="AE132" s="13">
        <v>969</v>
      </c>
      <c r="AF132" s="13">
        <v>0</v>
      </c>
    </row>
    <row r="133" spans="2:32" x14ac:dyDescent="0.35">
      <c r="B133" s="11">
        <v>49</v>
      </c>
      <c r="C133" s="11">
        <v>-13467</v>
      </c>
      <c r="D133" s="11">
        <v>-13467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2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</row>
    <row r="134" spans="2:32" x14ac:dyDescent="0.35">
      <c r="B134" s="11">
        <v>3</v>
      </c>
      <c r="C134" s="11">
        <v>823840968</v>
      </c>
      <c r="D134" s="11" t="s">
        <v>13</v>
      </c>
      <c r="E134" s="11">
        <v>15</v>
      </c>
      <c r="F134" s="11">
        <v>1989</v>
      </c>
      <c r="G134" s="11">
        <v>100</v>
      </c>
      <c r="H134" s="11">
        <v>0</v>
      </c>
      <c r="I134" s="11">
        <v>102</v>
      </c>
      <c r="J134" s="11">
        <v>0</v>
      </c>
      <c r="K134" s="11">
        <v>400</v>
      </c>
      <c r="L134" s="11">
        <v>0</v>
      </c>
      <c r="M134" s="11">
        <v>402</v>
      </c>
      <c r="N134" s="11">
        <v>0</v>
      </c>
      <c r="O134" s="11">
        <v>500</v>
      </c>
      <c r="P134" s="11">
        <v>0</v>
      </c>
      <c r="Q134" s="12">
        <v>501</v>
      </c>
      <c r="R134" s="11">
        <v>0</v>
      </c>
      <c r="S134" s="11">
        <v>502</v>
      </c>
      <c r="T134" s="11">
        <v>0</v>
      </c>
      <c r="U134" s="11">
        <v>503</v>
      </c>
      <c r="V134" s="11">
        <v>0</v>
      </c>
      <c r="W134" s="11">
        <v>965</v>
      </c>
      <c r="X134" s="11">
        <v>0</v>
      </c>
      <c r="Y134" s="11">
        <v>966</v>
      </c>
      <c r="Z134" s="11">
        <v>0</v>
      </c>
      <c r="AA134" s="11">
        <v>967</v>
      </c>
      <c r="AB134" s="11">
        <v>0</v>
      </c>
      <c r="AC134" s="11">
        <v>968</v>
      </c>
      <c r="AD134" s="11">
        <v>0</v>
      </c>
      <c r="AE134" s="11">
        <v>969</v>
      </c>
      <c r="AF134" s="11">
        <v>0</v>
      </c>
    </row>
    <row r="135" spans="2:32" x14ac:dyDescent="0.35">
      <c r="B135" s="13">
        <v>49</v>
      </c>
      <c r="C135" s="13">
        <v>1989</v>
      </c>
      <c r="D135" s="13">
        <v>1989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4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</row>
    <row r="136" spans="2:32" x14ac:dyDescent="0.35">
      <c r="B136" s="13">
        <v>3</v>
      </c>
      <c r="C136" s="13">
        <v>553686978</v>
      </c>
      <c r="D136" s="13" t="s">
        <v>13</v>
      </c>
      <c r="E136" s="13">
        <v>15</v>
      </c>
      <c r="F136" s="13">
        <v>2310405</v>
      </c>
      <c r="G136" s="13">
        <v>100</v>
      </c>
      <c r="H136" s="13">
        <v>64598</v>
      </c>
      <c r="I136" s="13">
        <v>102</v>
      </c>
      <c r="J136" s="13">
        <v>100</v>
      </c>
      <c r="K136" s="13">
        <v>400</v>
      </c>
      <c r="L136" s="13">
        <v>4171255</v>
      </c>
      <c r="M136" s="13">
        <v>402</v>
      </c>
      <c r="N136" s="13">
        <v>800</v>
      </c>
      <c r="O136" s="13">
        <v>500</v>
      </c>
      <c r="P136" s="13">
        <v>0</v>
      </c>
      <c r="Q136" s="14">
        <v>501</v>
      </c>
      <c r="R136" s="13">
        <v>0</v>
      </c>
      <c r="S136" s="13">
        <v>502</v>
      </c>
      <c r="T136" s="13">
        <v>0</v>
      </c>
      <c r="U136" s="13">
        <v>503</v>
      </c>
      <c r="V136" s="13">
        <v>0</v>
      </c>
      <c r="W136" s="13">
        <v>965</v>
      </c>
      <c r="X136" s="13">
        <v>0</v>
      </c>
      <c r="Y136" s="13">
        <v>966</v>
      </c>
      <c r="Z136" s="13">
        <v>0</v>
      </c>
      <c r="AA136" s="13">
        <v>967</v>
      </c>
      <c r="AB136" s="13">
        <v>0</v>
      </c>
      <c r="AC136" s="13">
        <v>968</v>
      </c>
      <c r="AD136" s="13">
        <v>0</v>
      </c>
      <c r="AE136" s="13">
        <v>969</v>
      </c>
      <c r="AF136" s="13">
        <v>0</v>
      </c>
    </row>
    <row r="137" spans="2:32" x14ac:dyDescent="0.35">
      <c r="B137" s="13">
        <v>16</v>
      </c>
      <c r="C137" s="13">
        <v>915</v>
      </c>
      <c r="D137" s="13">
        <v>550400</v>
      </c>
      <c r="E137" s="13">
        <v>0</v>
      </c>
      <c r="F137" s="13">
        <v>163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4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</row>
    <row r="138" spans="2:32" x14ac:dyDescent="0.35">
      <c r="B138" s="11">
        <v>16</v>
      </c>
      <c r="C138" s="11">
        <v>910</v>
      </c>
      <c r="D138" s="11">
        <v>588500</v>
      </c>
      <c r="E138" s="11">
        <v>0</v>
      </c>
      <c r="F138" s="11">
        <v>0</v>
      </c>
      <c r="G138" s="11" t="s">
        <v>152</v>
      </c>
      <c r="H138" s="11">
        <v>651350140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2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</row>
    <row r="139" spans="2:32" x14ac:dyDescent="0.35">
      <c r="B139" s="11">
        <v>16</v>
      </c>
      <c r="C139" s="11">
        <v>910</v>
      </c>
      <c r="D139" s="11">
        <v>3000000</v>
      </c>
      <c r="E139" s="11">
        <v>0</v>
      </c>
      <c r="F139" s="11">
        <v>333666</v>
      </c>
      <c r="G139" s="11" t="s">
        <v>152</v>
      </c>
      <c r="H139" s="11" t="s">
        <v>155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2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</row>
    <row r="140" spans="2:32" x14ac:dyDescent="0.35">
      <c r="B140" s="11">
        <v>16</v>
      </c>
      <c r="C140" s="11">
        <v>936</v>
      </c>
      <c r="D140" s="11">
        <v>64598</v>
      </c>
      <c r="E140" s="11">
        <v>0</v>
      </c>
      <c r="F140" s="11">
        <v>0</v>
      </c>
      <c r="G140" s="11" t="s">
        <v>30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2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</row>
    <row r="141" spans="2:32" x14ac:dyDescent="0.35">
      <c r="B141" s="11">
        <v>16</v>
      </c>
      <c r="C141" s="11">
        <v>475</v>
      </c>
      <c r="D141" s="11">
        <v>70050</v>
      </c>
      <c r="E141" s="11">
        <v>0</v>
      </c>
      <c r="F141" s="11">
        <v>5607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2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</row>
    <row r="142" spans="2:32" x14ac:dyDescent="0.35">
      <c r="B142" s="11">
        <v>16</v>
      </c>
      <c r="C142" s="11">
        <v>475</v>
      </c>
      <c r="D142" s="11">
        <v>22410</v>
      </c>
      <c r="E142" s="11">
        <v>0</v>
      </c>
      <c r="F142" s="11">
        <v>5712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2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</row>
    <row r="143" spans="2:32" x14ac:dyDescent="0.35">
      <c r="B143" s="11">
        <v>16</v>
      </c>
      <c r="C143" s="11">
        <v>475</v>
      </c>
      <c r="D143" s="11">
        <v>22650</v>
      </c>
      <c r="E143" s="11">
        <v>0</v>
      </c>
      <c r="F143" s="11">
        <v>5820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2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</row>
    <row r="144" spans="2:32" x14ac:dyDescent="0.35">
      <c r="B144" s="13">
        <v>16</v>
      </c>
      <c r="C144" s="13">
        <v>475</v>
      </c>
      <c r="D144" s="13">
        <v>210620</v>
      </c>
      <c r="E144" s="13">
        <v>0</v>
      </c>
      <c r="F144" s="13">
        <v>5924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4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</row>
    <row r="145" spans="2:32" x14ac:dyDescent="0.35">
      <c r="B145" s="13">
        <v>16</v>
      </c>
      <c r="C145" s="13">
        <v>475</v>
      </c>
      <c r="D145" s="13">
        <v>379200</v>
      </c>
      <c r="E145" s="13">
        <v>0</v>
      </c>
      <c r="F145" s="13">
        <v>5956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4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</row>
    <row r="146" spans="2:32" x14ac:dyDescent="0.35">
      <c r="B146" s="13">
        <v>16</v>
      </c>
      <c r="C146" s="13">
        <v>475</v>
      </c>
      <c r="D146" s="13">
        <v>61915</v>
      </c>
      <c r="E146" s="13">
        <v>0</v>
      </c>
      <c r="F146" s="13">
        <v>5968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4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</row>
    <row r="147" spans="2:32" x14ac:dyDescent="0.35">
      <c r="B147" s="13">
        <v>16</v>
      </c>
      <c r="C147" s="13">
        <v>475</v>
      </c>
      <c r="D147" s="13">
        <v>3300000</v>
      </c>
      <c r="E147" s="13">
        <v>0</v>
      </c>
      <c r="F147" s="13">
        <v>6100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4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</row>
    <row r="148" spans="2:32" x14ac:dyDescent="0.35">
      <c r="B148" s="13">
        <v>16</v>
      </c>
      <c r="C148" s="13">
        <v>501</v>
      </c>
      <c r="D148" s="13">
        <v>104410</v>
      </c>
      <c r="E148" s="13">
        <v>0</v>
      </c>
      <c r="F148" s="13">
        <v>0</v>
      </c>
      <c r="G148" s="13" t="s">
        <v>43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4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</row>
    <row r="149" spans="2:32" x14ac:dyDescent="0.35">
      <c r="B149" s="11">
        <v>49</v>
      </c>
      <c r="C149" s="11">
        <v>10783011</v>
      </c>
      <c r="D149" s="11">
        <v>10783011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2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</row>
    <row r="150" spans="2:32" x14ac:dyDescent="0.35">
      <c r="B150" s="11">
        <v>3</v>
      </c>
      <c r="C150" s="11">
        <v>857862896</v>
      </c>
      <c r="D150" s="11" t="s">
        <v>13</v>
      </c>
      <c r="E150" s="11">
        <v>15</v>
      </c>
      <c r="F150" s="11">
        <v>2805</v>
      </c>
      <c r="G150" s="11">
        <v>100</v>
      </c>
      <c r="H150" s="11">
        <v>0</v>
      </c>
      <c r="I150" s="11">
        <v>102</v>
      </c>
      <c r="J150" s="11">
        <v>0</v>
      </c>
      <c r="K150" s="11">
        <v>400</v>
      </c>
      <c r="L150" s="11">
        <v>0</v>
      </c>
      <c r="M150" s="11">
        <v>402</v>
      </c>
      <c r="N150" s="11">
        <v>0</v>
      </c>
      <c r="O150" s="11">
        <v>500</v>
      </c>
      <c r="P150" s="11">
        <v>0</v>
      </c>
      <c r="Q150" s="12">
        <v>501</v>
      </c>
      <c r="R150" s="11">
        <v>0</v>
      </c>
      <c r="S150" s="11">
        <v>502</v>
      </c>
      <c r="T150" s="11">
        <v>0</v>
      </c>
      <c r="U150" s="11">
        <v>503</v>
      </c>
      <c r="V150" s="11">
        <v>0</v>
      </c>
      <c r="W150" s="11">
        <v>965</v>
      </c>
      <c r="X150" s="11">
        <v>0</v>
      </c>
      <c r="Y150" s="11">
        <v>966</v>
      </c>
      <c r="Z150" s="11">
        <v>0</v>
      </c>
      <c r="AA150" s="11">
        <v>967</v>
      </c>
      <c r="AB150" s="11">
        <v>0</v>
      </c>
      <c r="AC150" s="11">
        <v>968</v>
      </c>
      <c r="AD150" s="11">
        <v>0</v>
      </c>
      <c r="AE150" s="11">
        <v>969</v>
      </c>
      <c r="AF150" s="11">
        <v>0</v>
      </c>
    </row>
    <row r="151" spans="2:32" x14ac:dyDescent="0.35">
      <c r="B151" s="13">
        <v>49</v>
      </c>
      <c r="C151" s="13">
        <v>2805</v>
      </c>
      <c r="D151" s="13">
        <v>2805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4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</row>
    <row r="152" spans="2:32" x14ac:dyDescent="0.35">
      <c r="B152" s="11">
        <v>98</v>
      </c>
      <c r="C152" s="16">
        <v>211695158</v>
      </c>
      <c r="D152" s="11">
        <v>23</v>
      </c>
      <c r="E152" s="11">
        <v>211691657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2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</row>
    <row r="153" spans="2:32" x14ac:dyDescent="0.35">
      <c r="B153" s="11">
        <v>99</v>
      </c>
      <c r="C153" s="11">
        <v>211695158</v>
      </c>
      <c r="D153" s="11">
        <v>1</v>
      </c>
      <c r="E153" s="11">
        <v>188</v>
      </c>
      <c r="F153" s="11">
        <v>211691657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2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</row>
    <row r="155" spans="2:32" x14ac:dyDescent="0.35">
      <c r="B155" s="17" t="s">
        <v>177</v>
      </c>
      <c r="Q155"/>
    </row>
    <row r="156" spans="2:32" x14ac:dyDescent="0.35">
      <c r="B156" s="11">
        <v>1</v>
      </c>
      <c r="C156" s="11" t="s">
        <v>133</v>
      </c>
      <c r="D156" s="11" t="s">
        <v>58</v>
      </c>
      <c r="E156" s="11">
        <v>120725</v>
      </c>
      <c r="F156" s="11">
        <v>400</v>
      </c>
      <c r="G156" s="11">
        <v>1</v>
      </c>
      <c r="H156" s="11">
        <v>78</v>
      </c>
      <c r="I156" s="11">
        <v>78</v>
      </c>
      <c r="Q156"/>
    </row>
    <row r="157" spans="2:32" x14ac:dyDescent="0.35">
      <c r="B157" s="11">
        <v>99</v>
      </c>
      <c r="C157" s="11">
        <v>211695158</v>
      </c>
      <c r="D157" s="11">
        <v>1</v>
      </c>
      <c r="E157" s="11">
        <v>188</v>
      </c>
      <c r="F157" s="11">
        <v>211691657</v>
      </c>
      <c r="G157" s="11"/>
      <c r="H157" s="11"/>
      <c r="I157" s="11"/>
      <c r="Q157"/>
    </row>
    <row r="158" spans="2:32" x14ac:dyDescent="0.35">
      <c r="Q158"/>
    </row>
    <row r="159" spans="2:32" x14ac:dyDescent="0.35">
      <c r="B159" s="17" t="s">
        <v>68</v>
      </c>
      <c r="Q159"/>
    </row>
    <row r="160" spans="2:32" x14ac:dyDescent="0.35">
      <c r="B160" s="11">
        <v>2</v>
      </c>
      <c r="C160" s="11" t="s">
        <v>58</v>
      </c>
      <c r="D160" s="11" t="s">
        <v>66</v>
      </c>
      <c r="E160" s="11">
        <v>1</v>
      </c>
      <c r="F160" s="11">
        <v>120724</v>
      </c>
      <c r="Q160"/>
    </row>
    <row r="161" spans="2:32" x14ac:dyDescent="0.35">
      <c r="B161" s="11">
        <v>98</v>
      </c>
      <c r="C161" s="16">
        <v>211695158</v>
      </c>
      <c r="D161" s="11">
        <v>23</v>
      </c>
      <c r="E161" s="11">
        <v>211691657</v>
      </c>
      <c r="F161" s="11"/>
      <c r="Q161"/>
    </row>
    <row r="162" spans="2:32" x14ac:dyDescent="0.35">
      <c r="Q162"/>
    </row>
    <row r="163" spans="2:32" x14ac:dyDescent="0.35">
      <c r="B163" s="17" t="s">
        <v>178</v>
      </c>
    </row>
    <row r="164" spans="2:32" x14ac:dyDescent="0.35">
      <c r="B164" s="11">
        <v>3</v>
      </c>
      <c r="C164" s="11">
        <v>594481027</v>
      </c>
      <c r="D164" s="11" t="s">
        <v>13</v>
      </c>
      <c r="E164" s="11">
        <v>15</v>
      </c>
      <c r="F164" s="11">
        <v>-13467</v>
      </c>
      <c r="G164" s="11">
        <v>100</v>
      </c>
      <c r="H164" s="11">
        <v>0</v>
      </c>
      <c r="I164" s="11">
        <v>102</v>
      </c>
      <c r="J164" s="11">
        <v>0</v>
      </c>
      <c r="K164" s="11">
        <v>400</v>
      </c>
      <c r="L164" s="11">
        <v>0</v>
      </c>
      <c r="M164" s="11">
        <v>402</v>
      </c>
      <c r="N164" s="11">
        <v>0</v>
      </c>
      <c r="O164" s="11">
        <v>500</v>
      </c>
      <c r="P164" s="11">
        <v>0</v>
      </c>
      <c r="Q164" s="11">
        <v>501</v>
      </c>
      <c r="R164" s="11">
        <v>0</v>
      </c>
      <c r="S164" s="11">
        <v>502</v>
      </c>
      <c r="T164" s="11">
        <v>0</v>
      </c>
      <c r="U164" s="11">
        <v>503</v>
      </c>
      <c r="V164" s="11">
        <v>0</v>
      </c>
      <c r="W164" s="11">
        <v>965</v>
      </c>
      <c r="X164" s="11">
        <v>0</v>
      </c>
      <c r="Y164" s="11">
        <v>966</v>
      </c>
      <c r="Z164" s="11">
        <v>0</v>
      </c>
      <c r="AA164" s="11">
        <v>967</v>
      </c>
      <c r="AB164" s="11">
        <v>0</v>
      </c>
      <c r="AC164" s="11">
        <v>968</v>
      </c>
      <c r="AD164" s="11">
        <v>0</v>
      </c>
      <c r="AE164" s="11">
        <v>969</v>
      </c>
      <c r="AF164" s="11">
        <v>0</v>
      </c>
    </row>
    <row r="165" spans="2:32" x14ac:dyDescent="0.35">
      <c r="B165" s="19">
        <v>49</v>
      </c>
      <c r="C165" s="20">
        <v>-13467</v>
      </c>
      <c r="D165" s="11">
        <v>-13467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2:32" x14ac:dyDescent="0.35">
      <c r="B166" s="11">
        <v>3</v>
      </c>
      <c r="C166" s="11">
        <v>823840968</v>
      </c>
      <c r="D166" s="11" t="s">
        <v>13</v>
      </c>
      <c r="E166" s="11">
        <v>15</v>
      </c>
      <c r="F166" s="11">
        <v>1989</v>
      </c>
      <c r="G166" s="11">
        <v>100</v>
      </c>
      <c r="H166" s="11">
        <v>0</v>
      </c>
      <c r="I166" s="11">
        <v>102</v>
      </c>
      <c r="J166" s="11">
        <v>0</v>
      </c>
      <c r="K166" s="11">
        <v>400</v>
      </c>
      <c r="L166" s="11">
        <v>0</v>
      </c>
      <c r="M166" s="11">
        <v>402</v>
      </c>
      <c r="N166" s="11">
        <v>0</v>
      </c>
      <c r="O166" s="11">
        <v>500</v>
      </c>
      <c r="P166" s="11">
        <v>0</v>
      </c>
      <c r="Q166" s="11">
        <v>501</v>
      </c>
      <c r="R166" s="11">
        <v>0</v>
      </c>
      <c r="S166" s="11">
        <v>502</v>
      </c>
      <c r="T166" s="11">
        <v>0</v>
      </c>
      <c r="U166" s="11">
        <v>503</v>
      </c>
      <c r="V166" s="11">
        <v>0</v>
      </c>
      <c r="W166" s="11">
        <v>965</v>
      </c>
      <c r="X166" s="11">
        <v>0</v>
      </c>
      <c r="Y166" s="11">
        <v>966</v>
      </c>
      <c r="Z166" s="11">
        <v>0</v>
      </c>
      <c r="AA166" s="11">
        <v>967</v>
      </c>
      <c r="AB166" s="11">
        <v>0</v>
      </c>
      <c r="AC166" s="11">
        <v>968</v>
      </c>
      <c r="AD166" s="11">
        <v>0</v>
      </c>
      <c r="AE166" s="11">
        <v>969</v>
      </c>
      <c r="AF166" s="11">
        <v>0</v>
      </c>
    </row>
    <row r="167" spans="2:32" x14ac:dyDescent="0.35">
      <c r="B167" s="19">
        <v>49</v>
      </c>
      <c r="C167" s="20">
        <v>1989</v>
      </c>
      <c r="D167" s="11">
        <v>1989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2:32" x14ac:dyDescent="0.35">
      <c r="B168" s="11">
        <v>3</v>
      </c>
      <c r="C168" s="11">
        <v>553686978</v>
      </c>
      <c r="D168" s="11" t="s">
        <v>13</v>
      </c>
      <c r="E168" s="11">
        <v>15</v>
      </c>
      <c r="F168" s="11">
        <v>2310405</v>
      </c>
      <c r="G168" s="11">
        <v>100</v>
      </c>
      <c r="H168" s="11">
        <v>64598</v>
      </c>
      <c r="I168" s="11">
        <v>102</v>
      </c>
      <c r="J168" s="11">
        <v>100</v>
      </c>
      <c r="K168" s="11">
        <v>400</v>
      </c>
      <c r="L168" s="11">
        <v>4171255</v>
      </c>
      <c r="M168" s="11">
        <v>402</v>
      </c>
      <c r="N168" s="11">
        <v>800</v>
      </c>
      <c r="O168" s="11">
        <v>500</v>
      </c>
      <c r="P168" s="11">
        <v>0</v>
      </c>
      <c r="Q168" s="11">
        <v>501</v>
      </c>
      <c r="R168" s="11">
        <v>0</v>
      </c>
      <c r="S168" s="11">
        <v>502</v>
      </c>
      <c r="T168" s="11">
        <v>0</v>
      </c>
      <c r="U168" s="11">
        <v>503</v>
      </c>
      <c r="V168" s="11">
        <v>0</v>
      </c>
      <c r="W168" s="11">
        <v>965</v>
      </c>
      <c r="X168" s="11">
        <v>0</v>
      </c>
      <c r="Y168" s="11">
        <v>966</v>
      </c>
      <c r="Z168" s="11">
        <v>0</v>
      </c>
      <c r="AA168" s="11">
        <v>967</v>
      </c>
      <c r="AB168" s="11">
        <v>0</v>
      </c>
      <c r="AC168" s="11">
        <v>968</v>
      </c>
      <c r="AD168" s="11">
        <v>0</v>
      </c>
      <c r="AE168" s="11">
        <v>969</v>
      </c>
      <c r="AF168" s="11">
        <v>0</v>
      </c>
    </row>
    <row r="169" spans="2:32" x14ac:dyDescent="0.35">
      <c r="B169" s="19">
        <v>49</v>
      </c>
      <c r="C169" s="20">
        <v>10783011</v>
      </c>
      <c r="D169" s="11">
        <v>10783011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2:32" x14ac:dyDescent="0.35">
      <c r="B170" s="11">
        <v>3</v>
      </c>
      <c r="C170" s="11">
        <v>857862896</v>
      </c>
      <c r="D170" s="11" t="s">
        <v>13</v>
      </c>
      <c r="E170" s="11">
        <v>15</v>
      </c>
      <c r="F170" s="11">
        <v>2805</v>
      </c>
      <c r="G170" s="11">
        <v>100</v>
      </c>
      <c r="H170" s="11">
        <v>0</v>
      </c>
      <c r="I170" s="11">
        <v>102</v>
      </c>
      <c r="J170" s="11">
        <v>0</v>
      </c>
      <c r="K170" s="11">
        <v>400</v>
      </c>
      <c r="L170" s="11">
        <v>0</v>
      </c>
      <c r="M170" s="11">
        <v>402</v>
      </c>
      <c r="N170" s="11">
        <v>0</v>
      </c>
      <c r="O170" s="11">
        <v>500</v>
      </c>
      <c r="P170" s="11">
        <v>0</v>
      </c>
      <c r="Q170" s="11">
        <v>501</v>
      </c>
      <c r="R170" s="11">
        <v>0</v>
      </c>
      <c r="S170" s="11">
        <v>502</v>
      </c>
      <c r="T170" s="11">
        <v>0</v>
      </c>
      <c r="U170" s="11">
        <v>503</v>
      </c>
      <c r="V170" s="11">
        <v>0</v>
      </c>
      <c r="W170" s="11">
        <v>965</v>
      </c>
      <c r="X170" s="11">
        <v>0</v>
      </c>
      <c r="Y170" s="11">
        <v>966</v>
      </c>
      <c r="Z170" s="11">
        <v>0</v>
      </c>
      <c r="AA170" s="11">
        <v>967</v>
      </c>
      <c r="AB170" s="11">
        <v>0</v>
      </c>
      <c r="AC170" s="11">
        <v>968</v>
      </c>
      <c r="AD170" s="11">
        <v>0</v>
      </c>
      <c r="AE170" s="11">
        <v>969</v>
      </c>
      <c r="AF170" s="11">
        <v>0</v>
      </c>
    </row>
    <row r="171" spans="2:32" x14ac:dyDescent="0.35">
      <c r="B171" s="19">
        <v>49</v>
      </c>
      <c r="C171" s="20">
        <v>2805</v>
      </c>
      <c r="D171" s="11">
        <v>2805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3" spans="2:32" x14ac:dyDescent="0.35">
      <c r="C173" s="21">
        <f>SUM(C171,C169,C167,C165)</f>
        <v>10774338</v>
      </c>
      <c r="D173" s="18">
        <f>SUM(E173:AF173)</f>
        <v>6569925</v>
      </c>
      <c r="E173">
        <f>SUM(E164:E171)</f>
        <v>60</v>
      </c>
      <c r="F173">
        <f>SUM(F164:F171)</f>
        <v>2301732</v>
      </c>
      <c r="G173">
        <f t="shared" ref="G173:AF173" si="7">SUM(G164:G171)</f>
        <v>400</v>
      </c>
      <c r="H173">
        <f t="shared" si="7"/>
        <v>64598</v>
      </c>
      <c r="I173">
        <f t="shared" si="7"/>
        <v>408</v>
      </c>
      <c r="J173">
        <f t="shared" si="7"/>
        <v>100</v>
      </c>
      <c r="K173">
        <f t="shared" si="7"/>
        <v>1600</v>
      </c>
      <c r="L173">
        <f t="shared" si="7"/>
        <v>4171255</v>
      </c>
      <c r="M173">
        <f t="shared" si="7"/>
        <v>1608</v>
      </c>
      <c r="N173">
        <f t="shared" si="7"/>
        <v>800</v>
      </c>
      <c r="O173">
        <f t="shared" si="7"/>
        <v>2000</v>
      </c>
      <c r="P173">
        <f t="shared" si="7"/>
        <v>0</v>
      </c>
      <c r="Q173">
        <f t="shared" si="7"/>
        <v>2004</v>
      </c>
      <c r="R173">
        <f t="shared" si="7"/>
        <v>0</v>
      </c>
      <c r="S173">
        <f t="shared" si="7"/>
        <v>2008</v>
      </c>
      <c r="T173">
        <f t="shared" si="7"/>
        <v>0</v>
      </c>
      <c r="U173">
        <f t="shared" si="7"/>
        <v>2012</v>
      </c>
      <c r="V173">
        <f t="shared" si="7"/>
        <v>0</v>
      </c>
      <c r="W173">
        <f t="shared" si="7"/>
        <v>3860</v>
      </c>
      <c r="X173">
        <f t="shared" si="7"/>
        <v>0</v>
      </c>
      <c r="Y173">
        <f t="shared" si="7"/>
        <v>3864</v>
      </c>
      <c r="Z173">
        <f t="shared" si="7"/>
        <v>0</v>
      </c>
      <c r="AA173">
        <f t="shared" si="7"/>
        <v>3868</v>
      </c>
      <c r="AB173">
        <f t="shared" si="7"/>
        <v>0</v>
      </c>
      <c r="AC173">
        <f t="shared" si="7"/>
        <v>3872</v>
      </c>
      <c r="AD173">
        <f t="shared" si="7"/>
        <v>0</v>
      </c>
      <c r="AE173">
        <f t="shared" si="7"/>
        <v>3876</v>
      </c>
      <c r="AF173">
        <f t="shared" si="7"/>
        <v>0</v>
      </c>
    </row>
    <row r="174" spans="2:32" x14ac:dyDescent="0.35">
      <c r="D174" s="18">
        <f>SUM(E174:AF174)</f>
        <v>6538485</v>
      </c>
      <c r="F174">
        <f>F173</f>
        <v>2301732</v>
      </c>
      <c r="H174">
        <f t="shared" ref="H174" si="8">H173</f>
        <v>64598</v>
      </c>
      <c r="J174">
        <f t="shared" ref="J174" si="9">J173</f>
        <v>100</v>
      </c>
      <c r="L174">
        <f t="shared" ref="L174" si="10">L173</f>
        <v>4171255</v>
      </c>
      <c r="N174">
        <f t="shared" ref="N174" si="11">N173</f>
        <v>800</v>
      </c>
      <c r="P174">
        <f t="shared" ref="P174" si="12">P173</f>
        <v>0</v>
      </c>
      <c r="Q174"/>
      <c r="R174">
        <f t="shared" ref="R174" si="13">R173</f>
        <v>0</v>
      </c>
      <c r="T174">
        <f t="shared" ref="T174" si="14">T173</f>
        <v>0</v>
      </c>
      <c r="V174">
        <f t="shared" ref="V174" si="15">V173</f>
        <v>0</v>
      </c>
      <c r="X174">
        <f t="shared" ref="X174" si="16">X173</f>
        <v>0</v>
      </c>
      <c r="Z174">
        <f t="shared" ref="Z174" si="17">Z173</f>
        <v>0</v>
      </c>
      <c r="AB174">
        <f t="shared" ref="AB174" si="18">AB173</f>
        <v>0</v>
      </c>
      <c r="AD174">
        <f t="shared" ref="AD174" si="19">AD173</f>
        <v>0</v>
      </c>
      <c r="AF174">
        <f t="shared" ref="AF174" si="20">AF173</f>
        <v>0</v>
      </c>
    </row>
    <row r="175" spans="2:32" x14ac:dyDescent="0.35">
      <c r="C175">
        <f>C161</f>
        <v>211695158</v>
      </c>
    </row>
    <row r="176" spans="2:32" x14ac:dyDescent="0.35">
      <c r="C176">
        <f>C175-C173</f>
        <v>200920820</v>
      </c>
    </row>
    <row r="177" spans="2:17" x14ac:dyDescent="0.35">
      <c r="D177">
        <f>SUM(D179:D190)</f>
        <v>8374753</v>
      </c>
      <c r="F177">
        <f>SUM(F179:F190)</f>
        <v>374916</v>
      </c>
    </row>
    <row r="178" spans="2:17" x14ac:dyDescent="0.35">
      <c r="B178" s="17" t="s">
        <v>46</v>
      </c>
    </row>
    <row r="179" spans="2:17" x14ac:dyDescent="0.35">
      <c r="B179" s="11">
        <v>16</v>
      </c>
      <c r="C179" s="11">
        <v>915</v>
      </c>
      <c r="D179" s="11">
        <v>550400</v>
      </c>
      <c r="E179" s="11">
        <v>0</v>
      </c>
      <c r="F179" s="11">
        <v>163</v>
      </c>
      <c r="G179" s="11"/>
      <c r="Q179"/>
    </row>
    <row r="180" spans="2:17" x14ac:dyDescent="0.35">
      <c r="B180" s="11">
        <v>16</v>
      </c>
      <c r="C180" s="11">
        <v>910</v>
      </c>
      <c r="D180" s="11">
        <v>588500</v>
      </c>
      <c r="E180" s="11">
        <v>0</v>
      </c>
      <c r="F180" s="11">
        <v>0</v>
      </c>
      <c r="G180" s="11" t="s">
        <v>179</v>
      </c>
      <c r="Q180"/>
    </row>
    <row r="181" spans="2:17" x14ac:dyDescent="0.35">
      <c r="B181" s="11">
        <v>16</v>
      </c>
      <c r="C181" s="11">
        <v>910</v>
      </c>
      <c r="D181" s="11">
        <v>3000000</v>
      </c>
      <c r="E181" s="11">
        <v>0</v>
      </c>
      <c r="F181" s="11">
        <v>333666</v>
      </c>
      <c r="G181" s="11" t="s">
        <v>180</v>
      </c>
      <c r="H181" t="s">
        <v>155</v>
      </c>
      <c r="Q181"/>
    </row>
    <row r="182" spans="2:17" x14ac:dyDescent="0.35">
      <c r="B182" s="11">
        <v>16</v>
      </c>
      <c r="C182" s="11">
        <v>936</v>
      </c>
      <c r="D182" s="11">
        <v>64598</v>
      </c>
      <c r="E182" s="11">
        <v>0</v>
      </c>
      <c r="F182" s="11">
        <v>0</v>
      </c>
      <c r="G182" s="11" t="s">
        <v>30</v>
      </c>
      <c r="Q182"/>
    </row>
    <row r="183" spans="2:17" x14ac:dyDescent="0.35">
      <c r="B183" s="11">
        <v>16</v>
      </c>
      <c r="C183" s="11">
        <v>475</v>
      </c>
      <c r="D183" s="11">
        <v>70050</v>
      </c>
      <c r="E183" s="11">
        <v>0</v>
      </c>
      <c r="F183" s="11">
        <v>5607</v>
      </c>
      <c r="G183" s="11"/>
      <c r="Q183"/>
    </row>
    <row r="184" spans="2:17" x14ac:dyDescent="0.35">
      <c r="B184" s="11">
        <v>16</v>
      </c>
      <c r="C184" s="11">
        <v>475</v>
      </c>
      <c r="D184" s="11">
        <v>22410</v>
      </c>
      <c r="E184" s="11">
        <v>0</v>
      </c>
      <c r="F184" s="11">
        <v>5712</v>
      </c>
      <c r="G184" s="11"/>
      <c r="Q184"/>
    </row>
    <row r="185" spans="2:17" x14ac:dyDescent="0.35">
      <c r="B185" s="11">
        <v>16</v>
      </c>
      <c r="C185" s="11">
        <v>475</v>
      </c>
      <c r="D185" s="11">
        <v>22650</v>
      </c>
      <c r="E185" s="11">
        <v>0</v>
      </c>
      <c r="F185" s="11">
        <v>5820</v>
      </c>
      <c r="G185" s="11"/>
      <c r="Q185"/>
    </row>
    <row r="186" spans="2:17" x14ac:dyDescent="0.35">
      <c r="B186" s="11">
        <v>16</v>
      </c>
      <c r="C186" s="11">
        <v>475</v>
      </c>
      <c r="D186" s="11">
        <v>210620</v>
      </c>
      <c r="E186" s="11">
        <v>0</v>
      </c>
      <c r="F186" s="11">
        <v>5924</v>
      </c>
      <c r="G186" s="11"/>
      <c r="Q186"/>
    </row>
    <row r="187" spans="2:17" x14ac:dyDescent="0.35">
      <c r="B187" s="11">
        <v>16</v>
      </c>
      <c r="C187" s="11">
        <v>475</v>
      </c>
      <c r="D187" s="11">
        <v>379200</v>
      </c>
      <c r="E187" s="11">
        <v>0</v>
      </c>
      <c r="F187" s="11">
        <v>5956</v>
      </c>
      <c r="G187" s="11"/>
      <c r="Q187"/>
    </row>
    <row r="188" spans="2:17" x14ac:dyDescent="0.35">
      <c r="B188" s="11">
        <v>16</v>
      </c>
      <c r="C188" s="11">
        <v>475</v>
      </c>
      <c r="D188" s="11">
        <v>61915</v>
      </c>
      <c r="E188" s="11">
        <v>0</v>
      </c>
      <c r="F188" s="11">
        <v>5968</v>
      </c>
      <c r="G188" s="11"/>
      <c r="Q188"/>
    </row>
    <row r="189" spans="2:17" x14ac:dyDescent="0.35">
      <c r="B189" s="11">
        <v>16</v>
      </c>
      <c r="C189" s="11">
        <v>475</v>
      </c>
      <c r="D189" s="11">
        <v>3300000</v>
      </c>
      <c r="E189" s="11">
        <v>0</v>
      </c>
      <c r="F189" s="11">
        <v>6100</v>
      </c>
      <c r="G189" s="11"/>
      <c r="Q189"/>
    </row>
    <row r="190" spans="2:17" x14ac:dyDescent="0.35">
      <c r="B190" s="11">
        <v>16</v>
      </c>
      <c r="C190" s="11">
        <v>501</v>
      </c>
      <c r="D190" s="11">
        <v>104410</v>
      </c>
      <c r="E190" s="11">
        <v>0</v>
      </c>
      <c r="F190" s="11">
        <v>0</v>
      </c>
      <c r="G190" s="11" t="s">
        <v>43</v>
      </c>
      <c r="Q190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2025-02-08T11:25:17Z</dcterms:created>
  <dcterms:modified xsi:type="dcterms:W3CDTF">2025-02-09T11:24:05Z</dcterms:modified>
</cp:coreProperties>
</file>