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rosman/Downloads/"/>
    </mc:Choice>
  </mc:AlternateContent>
  <xr:revisionPtr revIDLastSave="0" documentId="13_ncr:1_{FCB5F02C-988C-3343-9D7A-92EDF42E7797}" xr6:coauthVersionLast="47" xr6:coauthVersionMax="47" xr10:uidLastSave="{00000000-0000-0000-0000-000000000000}"/>
  <bookViews>
    <workbookView xWindow="0" yWindow="500" windowWidth="28800" windowHeight="16320" activeTab="6" xr2:uid="{0873335E-8C6B-2846-99B4-84AC39B91D04}"/>
  </bookViews>
  <sheets>
    <sheet name="Call Option (Black Scholes)" sheetId="1" r:id="rId1"/>
    <sheet name="Call Option EP (Price Tree)" sheetId="2" r:id="rId2"/>
    <sheet name="Put Option EP (Price Tree)" sheetId="3" r:id="rId3"/>
    <sheet name="Call &amp; Put Option Value-Profit" sheetId="10" r:id="rId4"/>
    <sheet name="F-test" sheetId="8" r:id="rId5"/>
    <sheet name="FF3 Factor Model" sheetId="6" r:id="rId6"/>
    <sheet name="FF5 Factor Model" sheetId="7" r:id="rId7"/>
  </sheets>
  <definedNames>
    <definedName name="d1_">'Call Option (Black Scholes)'!$C$7</definedName>
    <definedName name="d2_">'Call Option (Black Scholes)'!$C$8</definedName>
    <definedName name="K">'Call Option (Black Scholes)'!$C$2</definedName>
    <definedName name="rf">'Call Option (Black Scholes)'!$C$4</definedName>
    <definedName name="sigma">'Call Option (Black Scholes)'!$C$5</definedName>
    <definedName name="So">'Call Option (Black Scholes)'!$C$1</definedName>
    <definedName name="T">'Call Option (Black Scholes)'!$C$3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0" l="1"/>
  <c r="B10" i="10"/>
  <c r="B11" i="10"/>
  <c r="B12" i="10"/>
  <c r="B13" i="10"/>
  <c r="C13" i="10" s="1"/>
  <c r="B14" i="10"/>
  <c r="C14" i="10" s="1"/>
  <c r="B15" i="10"/>
  <c r="C15" i="10" s="1"/>
  <c r="B16" i="10"/>
  <c r="C16" i="10" s="1"/>
  <c r="B17" i="10"/>
  <c r="B18" i="10"/>
  <c r="B19" i="10"/>
  <c r="B20" i="10"/>
  <c r="B21" i="10"/>
  <c r="B22" i="10"/>
  <c r="C22" i="10" s="1"/>
  <c r="B23" i="10"/>
  <c r="C23" i="10" s="1"/>
  <c r="B24" i="10"/>
  <c r="C24" i="10" s="1"/>
  <c r="B25" i="10"/>
  <c r="B26" i="10"/>
  <c r="B27" i="10"/>
  <c r="B28" i="10"/>
  <c r="B29" i="10"/>
  <c r="B30" i="10"/>
  <c r="B31" i="10"/>
  <c r="B32" i="10"/>
  <c r="C32" i="10" s="1"/>
  <c r="B33" i="10"/>
  <c r="B34" i="10"/>
  <c r="B35" i="10"/>
  <c r="B36" i="10"/>
  <c r="B37" i="10"/>
  <c r="C37" i="10" s="1"/>
  <c r="B8" i="10"/>
  <c r="C8" i="10" s="1"/>
  <c r="C9" i="10"/>
  <c r="C11" i="10"/>
  <c r="C18" i="10"/>
  <c r="C19" i="10"/>
  <c r="C20" i="10"/>
  <c r="C21" i="10"/>
  <c r="C26" i="10"/>
  <c r="C27" i="10"/>
  <c r="C29" i="10"/>
  <c r="C30" i="10"/>
  <c r="C31" i="10"/>
  <c r="C34" i="10"/>
  <c r="C35" i="10"/>
  <c r="D4" i="10"/>
  <c r="C17" i="10"/>
  <c r="C33" i="10"/>
  <c r="C36" i="10"/>
  <c r="J51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H40" i="10"/>
  <c r="H41" i="10"/>
  <c r="H42" i="10"/>
  <c r="H43" i="10"/>
  <c r="H44" i="10"/>
  <c r="H45" i="10"/>
  <c r="H46" i="10"/>
  <c r="H47" i="10"/>
  <c r="H48" i="10"/>
  <c r="H49" i="10"/>
  <c r="J49" i="10" s="1"/>
  <c r="H50" i="10"/>
  <c r="H51" i="10"/>
  <c r="H52" i="10"/>
  <c r="H53" i="10"/>
  <c r="H54" i="10"/>
  <c r="H55" i="10"/>
  <c r="H56" i="10"/>
  <c r="H57" i="10"/>
  <c r="J57" i="10" s="1"/>
  <c r="H58" i="10"/>
  <c r="H59" i="10"/>
  <c r="J59" i="10" s="1"/>
  <c r="H60" i="10"/>
  <c r="H61" i="10"/>
  <c r="H62" i="10"/>
  <c r="H63" i="10"/>
  <c r="H64" i="10"/>
  <c r="H65" i="10"/>
  <c r="J65" i="10" s="1"/>
  <c r="H66" i="10"/>
  <c r="H67" i="10"/>
  <c r="J67" i="10" s="1"/>
  <c r="H68" i="10"/>
  <c r="H69" i="10"/>
  <c r="H70" i="10"/>
  <c r="C25" i="10"/>
  <c r="C28" i="10"/>
  <c r="C10" i="10"/>
  <c r="C12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J6" i="10"/>
  <c r="K6" i="10"/>
  <c r="I10" i="10"/>
  <c r="H10" i="10"/>
  <c r="I74" i="3"/>
  <c r="I75" i="3"/>
  <c r="I76" i="3"/>
  <c r="I77" i="3"/>
  <c r="H74" i="3"/>
  <c r="H75" i="3"/>
  <c r="H76" i="3"/>
  <c r="H77" i="3"/>
  <c r="J41" i="10" l="1"/>
  <c r="J44" i="10"/>
  <c r="J43" i="10"/>
  <c r="J66" i="10"/>
  <c r="J58" i="10"/>
  <c r="J50" i="10"/>
  <c r="J42" i="10"/>
  <c r="J52" i="10"/>
  <c r="J60" i="10"/>
  <c r="J68" i="10"/>
  <c r="J64" i="10"/>
  <c r="J47" i="10"/>
  <c r="J29" i="10"/>
  <c r="J70" i="10"/>
  <c r="J62" i="10"/>
  <c r="J54" i="10"/>
  <c r="J46" i="10"/>
  <c r="J56" i="10"/>
  <c r="J16" i="10"/>
  <c r="J23" i="10"/>
  <c r="J15" i="10"/>
  <c r="J28" i="10"/>
  <c r="J69" i="10"/>
  <c r="J61" i="10"/>
  <c r="J53" i="10"/>
  <c r="J45" i="10"/>
  <c r="J63" i="10"/>
  <c r="J22" i="10"/>
  <c r="J14" i="10"/>
  <c r="J27" i="10"/>
  <c r="J48" i="10"/>
  <c r="J37" i="10"/>
  <c r="J40" i="10"/>
  <c r="J55" i="10"/>
  <c r="J19" i="10"/>
  <c r="J11" i="10"/>
  <c r="J32" i="10"/>
  <c r="J24" i="10"/>
  <c r="J39" i="10"/>
  <c r="J18" i="10"/>
  <c r="J31" i="10"/>
  <c r="J36" i="10"/>
  <c r="J17" i="10"/>
  <c r="J38" i="10"/>
  <c r="J30" i="10"/>
  <c r="J35" i="10"/>
  <c r="J21" i="10"/>
  <c r="J13" i="10"/>
  <c r="J34" i="10"/>
  <c r="J26" i="10"/>
  <c r="J20" i="10"/>
  <c r="J33" i="10"/>
  <c r="J25" i="10"/>
  <c r="J12" i="10"/>
  <c r="J10" i="10"/>
  <c r="J76" i="3"/>
  <c r="J75" i="3"/>
  <c r="J77" i="3"/>
  <c r="J74" i="3"/>
  <c r="E9" i="3" l="1"/>
  <c r="F13" i="3" s="1"/>
  <c r="G11" i="3" s="1"/>
  <c r="C4" i="3"/>
  <c r="B7" i="8"/>
  <c r="B6" i="8"/>
  <c r="B5" i="8"/>
  <c r="B4" i="8"/>
  <c r="B3" i="8"/>
  <c r="K2" i="3" l="1"/>
  <c r="K12" i="3" s="1"/>
  <c r="C5" i="3"/>
  <c r="K9" i="3" s="1"/>
  <c r="K15" i="3" s="1"/>
  <c r="K19" i="3" s="1"/>
  <c r="F5" i="3"/>
  <c r="H12" i="3"/>
  <c r="H10" i="3"/>
  <c r="G15" i="3"/>
  <c r="B9" i="8"/>
  <c r="B10" i="8" s="1"/>
  <c r="K3" i="3" l="1"/>
  <c r="K8" i="3"/>
  <c r="K7" i="3"/>
  <c r="K5" i="3"/>
  <c r="K14" i="3" s="1"/>
  <c r="K6" i="3"/>
  <c r="K4" i="3"/>
  <c r="K13" i="3" s="1"/>
  <c r="K18" i="3" s="1"/>
  <c r="G7" i="3"/>
  <c r="G3" i="3"/>
  <c r="L7" i="3"/>
  <c r="H30" i="3"/>
  <c r="M7" i="3" s="1"/>
  <c r="H16" i="3"/>
  <c r="H14" i="3"/>
  <c r="L6" i="3"/>
  <c r="H28" i="3"/>
  <c r="G29" i="3" l="1"/>
  <c r="H4" i="3"/>
  <c r="H2" i="3"/>
  <c r="H6" i="3"/>
  <c r="H8" i="3"/>
  <c r="H32" i="3"/>
  <c r="L8" i="3"/>
  <c r="H34" i="3"/>
  <c r="M9" i="3" s="1"/>
  <c r="M15" i="3" s="1"/>
  <c r="L19" i="3" s="1"/>
  <c r="L9" i="3"/>
  <c r="L15" i="3" s="1"/>
  <c r="M6" i="3"/>
  <c r="G33" i="3" l="1"/>
  <c r="F31" i="3"/>
  <c r="H26" i="3"/>
  <c r="M5" i="3" s="1"/>
  <c r="M14" i="3" s="1"/>
  <c r="L5" i="3"/>
  <c r="L14" i="3" s="1"/>
  <c r="H20" i="3"/>
  <c r="L2" i="3"/>
  <c r="L12" i="3" s="1"/>
  <c r="H24" i="3"/>
  <c r="G25" i="3" s="1"/>
  <c r="L4" i="3"/>
  <c r="L3" i="3"/>
  <c r="L13" i="3" s="1"/>
  <c r="H22" i="3"/>
  <c r="M3" i="3" s="1"/>
  <c r="M8" i="3"/>
  <c r="G21" i="3" l="1"/>
  <c r="F23" i="3" s="1"/>
  <c r="E27" i="3" s="1"/>
  <c r="M4" i="3"/>
  <c r="M13" i="3" s="1"/>
  <c r="M2" i="3"/>
  <c r="M12" i="3" s="1"/>
  <c r="L18" i="3" s="1"/>
  <c r="C11" i="3" l="1"/>
  <c r="C12" i="3" s="1"/>
  <c r="C5" i="2" l="1"/>
  <c r="E9" i="2"/>
  <c r="F5" i="2" s="1"/>
  <c r="C7" i="1"/>
  <c r="C6" i="2" l="1"/>
  <c r="K10" i="2" s="1"/>
  <c r="K17" i="2" s="1"/>
  <c r="K3" i="2"/>
  <c r="K14" i="2" s="1"/>
  <c r="K21" i="2" s="1"/>
  <c r="G7" i="2"/>
  <c r="G3" i="2"/>
  <c r="F13" i="2"/>
  <c r="C8" i="1"/>
  <c r="C10" i="1" s="1"/>
  <c r="K5" i="2" l="1"/>
  <c r="K9" i="2"/>
  <c r="K7" i="2"/>
  <c r="K6" i="2"/>
  <c r="K8" i="2"/>
  <c r="K4" i="2"/>
  <c r="K15" i="2" s="1"/>
  <c r="K22" i="2" s="1"/>
  <c r="H6" i="2"/>
  <c r="L5" i="2" s="1"/>
  <c r="H8" i="2"/>
  <c r="H2" i="2"/>
  <c r="H4" i="2"/>
  <c r="G15" i="2"/>
  <c r="G11" i="2"/>
  <c r="G27" i="2" s="1"/>
  <c r="K16" i="2" l="1"/>
  <c r="K23" i="2" s="1"/>
  <c r="H20" i="2"/>
  <c r="M4" i="2" s="1"/>
  <c r="M15" i="2" s="1"/>
  <c r="L22" i="2" s="1"/>
  <c r="L4" i="2"/>
  <c r="L15" i="2" s="1"/>
  <c r="H18" i="2"/>
  <c r="L3" i="2"/>
  <c r="L14" i="2" s="1"/>
  <c r="H24" i="2"/>
  <c r="M6" i="2" s="1"/>
  <c r="M16" i="2" s="1"/>
  <c r="L23" i="2" s="1"/>
  <c r="L6" i="2"/>
  <c r="L16" i="2" s="1"/>
  <c r="H22" i="2"/>
  <c r="H14" i="2"/>
  <c r="H16" i="2"/>
  <c r="H12" i="2"/>
  <c r="H28" i="2" s="1"/>
  <c r="M8" i="2" s="1"/>
  <c r="H10" i="2"/>
  <c r="M3" i="2" l="1"/>
  <c r="M14" i="2" s="1"/>
  <c r="G19" i="2"/>
  <c r="M5" i="2"/>
  <c r="G23" i="2"/>
  <c r="H30" i="2"/>
  <c r="L9" i="2"/>
  <c r="H32" i="2"/>
  <c r="M10" i="2" s="1"/>
  <c r="M17" i="2" s="1"/>
  <c r="L10" i="2"/>
  <c r="L17" i="2" s="1"/>
  <c r="H26" i="2"/>
  <c r="M7" i="2" s="1"/>
  <c r="L7" i="2"/>
  <c r="L8" i="2"/>
  <c r="F21" i="2" l="1"/>
  <c r="M9" i="2"/>
  <c r="G31" i="2"/>
  <c r="F29" i="2" s="1"/>
  <c r="E25" i="2" s="1"/>
  <c r="L21" i="2"/>
  <c r="C12" i="2"/>
  <c r="C13" i="2" s="1"/>
</calcChain>
</file>

<file path=xl/sharedStrings.xml><?xml version="1.0" encoding="utf-8"?>
<sst xmlns="http://schemas.openxmlformats.org/spreadsheetml/2006/main" count="240" uniqueCount="155">
  <si>
    <t>HML</t>
  </si>
  <si>
    <t>SMB</t>
  </si>
  <si>
    <t>MKT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</si>
  <si>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</si>
  <si>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</si>
  <si>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</si>
  <si>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</si>
  <si>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</si>
  <si>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</si>
  <si>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</si>
  <si>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</si>
  <si>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</si>
  <si>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</si>
  <si>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</si>
  <si>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</si>
  <si>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</si>
  <si>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</si>
  <si>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</si>
  <si>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</si>
  <si>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</si>
  <si>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</si>
  <si>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</si>
  <si>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R Square</t>
  </si>
  <si>
    <t>Multiple R</t>
  </si>
  <si>
    <t>Regression Statistics</t>
  </si>
  <si>
    <t>3 FACTOR MODEL SUMMARY OUTPUT</t>
  </si>
  <si>
    <t>CMD</t>
  </si>
  <si>
    <t>RMW</t>
  </si>
  <si>
    <t>5 FACTOR MODEL SUMMARY OUTPUT</t>
  </si>
  <si>
    <t>Current Stock Price</t>
  </si>
  <si>
    <t>So</t>
  </si>
  <si>
    <t>Strike Price</t>
  </si>
  <si>
    <t>K</t>
  </si>
  <si>
    <t>Time of Expiration</t>
  </si>
  <si>
    <t>T</t>
  </si>
  <si>
    <t>Risk-Free Rate</t>
  </si>
  <si>
    <t>rf</t>
  </si>
  <si>
    <t>Volatility</t>
  </si>
  <si>
    <t>sigma</t>
  </si>
  <si>
    <t>Intermediate Calculations</t>
  </si>
  <si>
    <t>d1</t>
  </si>
  <si>
    <t>d2</t>
  </si>
  <si>
    <t>Call Option Price</t>
  </si>
  <si>
    <t>Co</t>
  </si>
  <si>
    <t>Growth rate up</t>
  </si>
  <si>
    <t>u</t>
  </si>
  <si>
    <t>S0</t>
  </si>
  <si>
    <t>S1</t>
  </si>
  <si>
    <t>S2</t>
  </si>
  <si>
    <t>State</t>
  </si>
  <si>
    <t>Probability</t>
  </si>
  <si>
    <t>Stock</t>
  </si>
  <si>
    <t>Call</t>
  </si>
  <si>
    <t>Growth rate down</t>
  </si>
  <si>
    <t>d</t>
  </si>
  <si>
    <t>Probability of up</t>
  </si>
  <si>
    <t>Pu</t>
  </si>
  <si>
    <t>Probability of down</t>
  </si>
  <si>
    <t>Pd</t>
  </si>
  <si>
    <t>Stock price today</t>
  </si>
  <si>
    <t>Strike price</t>
  </si>
  <si>
    <t>Perperiod Risk-free rate</t>
  </si>
  <si>
    <t>Expected Payoff</t>
  </si>
  <si>
    <t>C0</t>
  </si>
  <si>
    <t>C1</t>
  </si>
  <si>
    <t>C2</t>
  </si>
  <si>
    <t>Call price</t>
  </si>
  <si>
    <t>S3</t>
  </si>
  <si>
    <t>C3</t>
  </si>
  <si>
    <t>uuu</t>
  </si>
  <si>
    <t>uud</t>
  </si>
  <si>
    <t>udu</t>
  </si>
  <si>
    <t>udd</t>
  </si>
  <si>
    <t>duu</t>
  </si>
  <si>
    <t>dud</t>
  </si>
  <si>
    <t>ddu</t>
  </si>
  <si>
    <t>ddd</t>
  </si>
  <si>
    <t>H(0):</t>
  </si>
  <si>
    <t>H(A):</t>
  </si>
  <si>
    <t>SSE_F:</t>
  </si>
  <si>
    <t>MSE_F:</t>
  </si>
  <si>
    <t>SSE_R:</t>
  </si>
  <si>
    <t>n:</t>
  </si>
  <si>
    <t>k:</t>
  </si>
  <si>
    <t>r:</t>
  </si>
  <si>
    <t>F-stat:</t>
  </si>
  <si>
    <t>P-val:</t>
  </si>
  <si>
    <t>Conclusion:</t>
  </si>
  <si>
    <t>beta_RMW = beta_CMD = 0</t>
  </si>
  <si>
    <t>at least one: beta_RMW, beta_CMD ~= 0</t>
  </si>
  <si>
    <t>E[C3]</t>
  </si>
  <si>
    <t>Put price</t>
  </si>
  <si>
    <t>Insignificant - fail to reject H(0)</t>
  </si>
  <si>
    <t xml:space="preserve">Strike </t>
  </si>
  <si>
    <t>Premium</t>
  </si>
  <si>
    <t>What is the breakeven point?</t>
  </si>
  <si>
    <t>What is the value and profit of the call at the following prices?</t>
  </si>
  <si>
    <t>Stock Price</t>
  </si>
  <si>
    <t>Call Value</t>
  </si>
  <si>
    <t>Profit</t>
  </si>
  <si>
    <t>Call Premium</t>
  </si>
  <si>
    <t>Put Premium</t>
  </si>
  <si>
    <t>What are the breakeven points?</t>
  </si>
  <si>
    <t>What is the value and profit of the strategy at the following prices?</t>
  </si>
  <si>
    <t>Put Value</t>
  </si>
  <si>
    <t>PUT</t>
  </si>
  <si>
    <t>CALL</t>
  </si>
  <si>
    <t>Strike</t>
  </si>
  <si>
    <t>Calls</t>
  </si>
  <si>
    <t>Puts</t>
  </si>
  <si>
    <t>Last Price</t>
  </si>
  <si>
    <t> $       33.00</t>
  </si>
  <si>
    <t> $          115</t>
  </si>
  <si>
    <t> $         0.32</t>
  </si>
  <si>
    <t> $       32.03</t>
  </si>
  <si>
    <t> $          120</t>
  </si>
  <si>
    <t> $         0.45</t>
  </si>
  <si>
    <t> $       29.12</t>
  </si>
  <si>
    <t> $          125</t>
  </si>
  <si>
    <t> $         0.69</t>
  </si>
  <si>
    <t> $       18.60</t>
  </si>
  <si>
    <t> $          130</t>
  </si>
  <si>
    <t> $         1.11</t>
  </si>
  <si>
    <t> $       14.00</t>
  </si>
  <si>
    <t> $          135</t>
  </si>
  <si>
    <t> $         1.86</t>
  </si>
  <si>
    <t> $       10.50</t>
  </si>
  <si>
    <t> $          140</t>
  </si>
  <si>
    <t> $         3.03</t>
  </si>
  <si>
    <t> $         7.50</t>
  </si>
  <si>
    <t> $          145</t>
  </si>
  <si>
    <t> $         5.05</t>
  </si>
  <si>
    <t> $         4.95</t>
  </si>
  <si>
    <t> $          150</t>
  </si>
  <si>
    <t> $         7.38</t>
  </si>
  <si>
    <t> $         3.20</t>
  </si>
  <si>
    <t> $          155</t>
  </si>
  <si>
    <t> $       10.60</t>
  </si>
  <si>
    <t> $         2.02</t>
  </si>
  <si>
    <t> $          160</t>
  </si>
  <si>
    <t> $       14.58</t>
  </si>
  <si>
    <t> $         1.23</t>
  </si>
  <si>
    <t> $          165</t>
  </si>
  <si>
    <t> $       18.50</t>
  </si>
  <si>
    <t> $         0.81</t>
  </si>
  <si>
    <t> $          170</t>
  </si>
  <si>
    <t> $       23.97</t>
  </si>
  <si>
    <t> $         0.52</t>
  </si>
  <si>
    <t> $          175</t>
  </si>
  <si>
    <t> $       27.75</t>
  </si>
  <si>
    <t> $         0.36</t>
  </si>
  <si>
    <t> $          180</t>
  </si>
  <si>
    <t> $       29.20</t>
  </si>
  <si>
    <t>Exp Price</t>
  </si>
  <si>
    <t>Current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</si>
</sst>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%"/>
    <numFmt numFmtId="167" formatCode="_(&quot;$&quot;* #,##0_);_(&quot;$&quot;* \(#,##0\);_(&quot;$&quot;* &quot;-&quot;??_);_(@_)"/>
    <numFmt numFmtId="168" formatCode="0.0000%"/>
    <numFmt numFmtId="169" formatCode="&quot;$&quot;#,##0.0000"/>
    <numFmt numFmtId="170" formatCode="0.0000"/>
    <numFmt numFmtId="171" formatCode="_(&quot;$&quot;* #,##0.0000_);_(&quot;$&quot;* \(#,##0.0000\);_(&quot;$&quot;* &quot;-&quot;??_);_(@_)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6"/>
      <color rgb="FF333333"/>
      <name val="Helvetica Neue"/>
      <family val="2"/>
    </font>
    <font>
      <b/>
      <i/>
      <sz val="16"/>
      <color rgb="FF333333"/>
      <name val="Helvetica Neue"/>
      <family val="2"/>
    </font>
    <font>
      <i/>
      <sz val="16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/>
    <xf numFmtId="0" fontId="1" fillId="0" borderId="1" xfId="1" applyBorder="1"/>
    <xf numFmtId="0" fontId="2" fillId="0" borderId="2" xfId="1" applyFont="1" applyBorder="1" applyAlignment="1">
      <alignment horizontal="center"/>
    </xf>
    <xf numFmtId="0" fontId="1" fillId="0" borderId="3" xfId="1" applyBorder="1"/>
    <xf numFmtId="0" fontId="1" fillId="0" borderId="4" xfId="1" applyBorder="1"/>
    <xf numFmtId="0" fontId="2" fillId="0" borderId="2" xfId="1" applyFont="1" applyBorder="1" applyAlignment="1">
      <alignment horizontal="centerContinuous"/>
    </xf>
    <xf numFmtId="0" fontId="3" fillId="0" borderId="0" xfId="1" applyFont="1"/>
    <xf numFmtId="164" fontId="0" fillId="0" borderId="0" xfId="2" applyNumberFormat="1" applyFont="1"/>
    <xf numFmtId="9" fontId="0" fillId="0" borderId="0" xfId="3" applyFont="1"/>
    <xf numFmtId="2" fontId="0" fillId="0" borderId="0" xfId="0" applyNumberFormat="1"/>
    <xf numFmtId="165" fontId="0" fillId="0" borderId="0" xfId="2" applyNumberFormat="1" applyFont="1"/>
    <xf numFmtId="166" fontId="0" fillId="0" borderId="0" xfId="3" applyNumberFormat="1" applyFont="1"/>
    <xf numFmtId="10" fontId="0" fillId="0" borderId="0" xfId="3" applyNumberFormat="1" applyFont="1"/>
    <xf numFmtId="165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2" borderId="0" xfId="2" applyNumberFormat="1" applyFont="1" applyFill="1" applyAlignment="1"/>
    <xf numFmtId="9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2" applyNumberFormat="1" applyFont="1" applyAlignment="1"/>
    <xf numFmtId="167" fontId="0" fillId="0" borderId="0" xfId="2" applyNumberFormat="1" applyFont="1"/>
    <xf numFmtId="44" fontId="0" fillId="0" borderId="0" xfId="2" applyFont="1"/>
    <xf numFmtId="165" fontId="0" fillId="0" borderId="0" xfId="2" applyNumberFormat="1" applyFont="1" applyAlignment="1">
      <alignment horizontal="center"/>
    </xf>
    <xf numFmtId="168" fontId="0" fillId="0" borderId="0" xfId="3" applyNumberFormat="1" applyFont="1"/>
    <xf numFmtId="168" fontId="5" fillId="0" borderId="0" xfId="3" applyNumberFormat="1" applyFont="1"/>
    <xf numFmtId="0" fontId="5" fillId="0" borderId="0" xfId="0" applyFont="1"/>
    <xf numFmtId="165" fontId="0" fillId="0" borderId="0" xfId="2" applyNumberFormat="1" applyFont="1" applyFill="1" applyAlignment="1"/>
    <xf numFmtId="9" fontId="0" fillId="2" borderId="0" xfId="3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0" fontId="5" fillId="0" borderId="5" xfId="0" applyFont="1" applyBorder="1"/>
    <xf numFmtId="0" fontId="0" fillId="0" borderId="5" xfId="0" applyBorder="1" applyAlignment="1">
      <alignment horizontal="left"/>
    </xf>
    <xf numFmtId="0" fontId="5" fillId="0" borderId="6" xfId="0" applyFont="1" applyBorder="1"/>
    <xf numFmtId="0" fontId="0" fillId="0" borderId="6" xfId="0" applyBorder="1" applyAlignment="1">
      <alignment horizontal="left"/>
    </xf>
    <xf numFmtId="0" fontId="5" fillId="0" borderId="7" xfId="0" applyFont="1" applyBorder="1"/>
    <xf numFmtId="0" fontId="0" fillId="0" borderId="7" xfId="0" applyBorder="1" applyAlignment="1">
      <alignment horizontal="left"/>
    </xf>
    <xf numFmtId="169" fontId="0" fillId="0" borderId="0" xfId="2" applyNumberFormat="1" applyFont="1"/>
    <xf numFmtId="165" fontId="0" fillId="0" borderId="0" xfId="3" applyNumberFormat="1" applyFont="1" applyAlignment="1">
      <alignment horizontal="center"/>
    </xf>
    <xf numFmtId="165" fontId="0" fillId="2" borderId="0" xfId="3" applyNumberFormat="1" applyFont="1" applyFill="1" applyAlignment="1">
      <alignment horizontal="center"/>
    </xf>
    <xf numFmtId="165" fontId="0" fillId="0" borderId="0" xfId="3" applyNumberFormat="1" applyFont="1"/>
    <xf numFmtId="44" fontId="0" fillId="0" borderId="0" xfId="0" applyNumberFormat="1"/>
    <xf numFmtId="44" fontId="6" fillId="0" borderId="0" xfId="2" applyFont="1" applyFill="1" applyBorder="1"/>
    <xf numFmtId="44" fontId="0" fillId="3" borderId="0" xfId="2" applyFont="1" applyFill="1"/>
    <xf numFmtId="44" fontId="0" fillId="0" borderId="0" xfId="2" applyFont="1" applyFill="1"/>
    <xf numFmtId="0" fontId="7" fillId="0" borderId="0" xfId="0" applyFont="1"/>
    <xf numFmtId="0" fontId="8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168" fontId="0" fillId="2" borderId="0" xfId="0" applyNumberFormat="1" applyFill="1" applyAlignment="1">
      <alignment horizontal="center"/>
    </xf>
    <xf numFmtId="165" fontId="0" fillId="2" borderId="0" xfId="0" applyNumberFormat="1" applyFill="1"/>
    <xf numFmtId="171" fontId="0" fillId="2" borderId="0" xfId="2" applyNumberFormat="1" applyFont="1" applyFill="1"/>
    <xf numFmtId="171" fontId="0" fillId="2" borderId="0" xfId="0" applyNumberFormat="1" applyFill="1"/>
    <xf numFmtId="0" fontId="10" fillId="0" borderId="0" xfId="0" applyFont="1"/>
    <xf numFmtId="0" fontId="9" fillId="0" borderId="0" xfId="0" applyFont="1"/>
    <xf numFmtId="0" fontId="11" fillId="0" borderId="0" xfId="0" applyFont="1"/>
    <xf numFmtId="44" fontId="0" fillId="3" borderId="0" xfId="2" applyNumberFormat="1" applyFont="1" applyFill="1"/>
    <xf numFmtId="167" fontId="5" fillId="0" borderId="0" xfId="2" applyNumberFormat="1" applyFont="1"/>
  </cellXfs>
  <cellStyles count="4">
    <cellStyle name="Currency" xfId="2" builtinId="4"/>
    <cellStyle name="Normal" xfId="0" builtinId="0"/>
    <cellStyle name="Normal 2" xfId="1" xr:uid="{0B4B2AE1-9744-0943-A3A3-27AB0E00AC5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FDCC-9AF2-2543-A8C2-A7F641016718}">
  <dimension ref="A1:C10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29</v>
      </c>
      <c r="B1" t="s">
        <v>30</v>
      </c>
      <c r="C1" s="11">
        <v>86.73</v>
      </c>
    </row>
    <row r="2" spans="1:3" x14ac:dyDescent="0.2">
      <c r="A2" t="s">
        <v>31</v>
      </c>
      <c r="B2" t="s">
        <v>32</v>
      </c>
      <c r="C2" s="8">
        <v>90</v>
      </c>
    </row>
    <row r="3" spans="1:3" x14ac:dyDescent="0.2">
      <c r="A3" t="s">
        <v>33</v>
      </c>
      <c r="B3" t="s">
        <v>34</v>
      </c>
      <c r="C3">
        <v>1</v>
      </c>
    </row>
    <row r="4" spans="1:3" x14ac:dyDescent="0.2">
      <c r="A4" t="s">
        <v>35</v>
      </c>
      <c r="B4" t="s">
        <v>36</v>
      </c>
      <c r="C4" s="13">
        <v>4.4999999999999998E-2</v>
      </c>
    </row>
    <row r="5" spans="1:3" x14ac:dyDescent="0.2">
      <c r="A5" t="s">
        <v>37</v>
      </c>
      <c r="B5" t="s">
        <v>38</v>
      </c>
      <c r="C5" s="9">
        <v>0.32</v>
      </c>
    </row>
    <row r="7" spans="1:3" x14ac:dyDescent="0.2">
      <c r="A7" t="s">
        <v>39</v>
      </c>
      <c r="B7" t="s">
        <v>40</v>
      </c>
      <c r="C7" s="10">
        <f>1/(sigma*SQRT(T))*(LN(So/K)+(rf+sigma^2/2)*T)</f>
        <v>0.18496929489406042</v>
      </c>
    </row>
    <row r="8" spans="1:3" x14ac:dyDescent="0.2">
      <c r="A8" t="s">
        <v>39</v>
      </c>
      <c r="B8" t="s">
        <v>41</v>
      </c>
      <c r="C8" s="10">
        <f>d1_-sigma*SQRT(T)</f>
        <v>-0.13503070510593959</v>
      </c>
    </row>
    <row r="10" spans="1:3" x14ac:dyDescent="0.2">
      <c r="A10" t="s">
        <v>42</v>
      </c>
      <c r="B10" t="s">
        <v>43</v>
      </c>
      <c r="C10" s="38">
        <f>_xlfn.NORM.S.DIST(d1_,TRUE)*So-_xlfn.NORM.S.DIST(d2_,TRUE)*K*EXP(-rf*T)</f>
        <v>11.329661192322476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96D1-846F-5348-910C-0E4E3569FBCC}">
  <dimension ref="A1:M32"/>
  <sheetViews>
    <sheetView workbookViewId="0">
      <selection activeCell="K11" sqref="K11"/>
    </sheetView>
  </sheetViews>
  <sheetFormatPr baseColWidth="10" defaultRowHeight="16" x14ac:dyDescent="0.2"/>
  <sheetData>
    <row r="1" spans="1:13" x14ac:dyDescent="0.2">
      <c r="E1" s="14" t="s">
        <v>46</v>
      </c>
      <c r="F1" s="14" t="s">
        <v>47</v>
      </c>
      <c r="G1" s="14" t="s">
        <v>48</v>
      </c>
      <c r="H1" s="14" t="s">
        <v>67</v>
      </c>
      <c r="J1" s="14" t="s">
        <v>49</v>
      </c>
      <c r="K1" s="15" t="s">
        <v>50</v>
      </c>
      <c r="L1" s="16" t="s">
        <v>51</v>
      </c>
      <c r="M1" s="16" t="s">
        <v>52</v>
      </c>
    </row>
    <row r="2" spans="1:13" x14ac:dyDescent="0.2">
      <c r="A2" t="s">
        <v>44</v>
      </c>
      <c r="B2" t="s">
        <v>45</v>
      </c>
      <c r="C2" s="9">
        <v>1.2</v>
      </c>
      <c r="E2" s="14"/>
      <c r="F2" s="14"/>
      <c r="G2" s="14"/>
      <c r="H2" s="50">
        <f>G3*C2</f>
        <v>247.10399999999998</v>
      </c>
      <c r="J2" s="14"/>
      <c r="K2" s="15"/>
      <c r="L2" s="16"/>
      <c r="M2" s="16"/>
    </row>
    <row r="3" spans="1:13" x14ac:dyDescent="0.2">
      <c r="A3" t="s">
        <v>53</v>
      </c>
      <c r="B3" t="s">
        <v>54</v>
      </c>
      <c r="C3" s="9">
        <v>0.9</v>
      </c>
      <c r="E3" s="17"/>
      <c r="F3" s="17"/>
      <c r="G3" s="18">
        <f>F5*C2</f>
        <v>205.92</v>
      </c>
      <c r="J3" s="16" t="s">
        <v>69</v>
      </c>
      <c r="K3" s="19">
        <f>C5^3</f>
        <v>0.11533029353439601</v>
      </c>
      <c r="L3" s="20">
        <f>H2</f>
        <v>247.10399999999998</v>
      </c>
      <c r="M3" s="20">
        <f>H18</f>
        <v>82.103999999999985</v>
      </c>
    </row>
    <row r="4" spans="1:13" x14ac:dyDescent="0.2">
      <c r="E4" s="21"/>
      <c r="H4" s="50">
        <f>G3*C3</f>
        <v>185.328</v>
      </c>
      <c r="I4" s="17"/>
      <c r="J4" s="16" t="s">
        <v>70</v>
      </c>
      <c r="K4" s="19">
        <f>C5^2*C6</f>
        <v>0.12160454946026912</v>
      </c>
      <c r="L4" s="20">
        <f>H4</f>
        <v>185.328</v>
      </c>
      <c r="M4" s="20">
        <f>H20</f>
        <v>20.328000000000003</v>
      </c>
    </row>
    <row r="5" spans="1:13" x14ac:dyDescent="0.2">
      <c r="A5" t="s">
        <v>55</v>
      </c>
      <c r="B5" t="s">
        <v>56</v>
      </c>
      <c r="C5" s="25">
        <f>(EXP(C10)-C3)/(C2-C3)</f>
        <v>0.4867595330290565</v>
      </c>
      <c r="E5" s="21"/>
      <c r="F5" s="18">
        <f>E9*C2</f>
        <v>171.6</v>
      </c>
      <c r="G5" s="17"/>
      <c r="J5" s="16" t="s">
        <v>71</v>
      </c>
      <c r="K5" s="19">
        <f>C5^2*C6</f>
        <v>0.12160454946026912</v>
      </c>
      <c r="L5" s="20">
        <f>H6</f>
        <v>185.328</v>
      </c>
      <c r="M5" s="20">
        <f>H22</f>
        <v>20.328000000000003</v>
      </c>
    </row>
    <row r="6" spans="1:13" x14ac:dyDescent="0.2">
      <c r="A6" t="s">
        <v>57</v>
      </c>
      <c r="B6" t="s">
        <v>58</v>
      </c>
      <c r="C6" s="25">
        <f>1-C5</f>
        <v>0.5132404669709435</v>
      </c>
      <c r="D6" s="26"/>
      <c r="F6" s="21"/>
      <c r="H6" s="50">
        <f>G7*C2</f>
        <v>185.328</v>
      </c>
      <c r="J6" s="16" t="s">
        <v>72</v>
      </c>
      <c r="K6" s="19">
        <f>C5*C6^2</f>
        <v>0.12822014057412223</v>
      </c>
      <c r="L6" s="20">
        <f>H8</f>
        <v>138.99600000000001</v>
      </c>
      <c r="M6" s="20">
        <f>H24</f>
        <v>0</v>
      </c>
    </row>
    <row r="7" spans="1:13" x14ac:dyDescent="0.2">
      <c r="G7" s="18">
        <f>F5*C3</f>
        <v>154.44</v>
      </c>
      <c r="J7" s="16" t="s">
        <v>73</v>
      </c>
      <c r="K7" s="19">
        <f>C5^2*C6</f>
        <v>0.12160454946026912</v>
      </c>
      <c r="L7" s="20">
        <f>H10</f>
        <v>185.32800000000003</v>
      </c>
      <c r="M7" s="20">
        <f>H26</f>
        <v>20.328000000000031</v>
      </c>
    </row>
    <row r="8" spans="1:13" x14ac:dyDescent="0.2">
      <c r="A8" s="17" t="s">
        <v>59</v>
      </c>
      <c r="B8" s="17" t="s">
        <v>46</v>
      </c>
      <c r="C8" s="22">
        <v>143</v>
      </c>
      <c r="F8" s="17"/>
      <c r="H8" s="50">
        <f>G7*C3</f>
        <v>138.99600000000001</v>
      </c>
      <c r="J8" s="16" t="s">
        <v>74</v>
      </c>
      <c r="K8" s="19">
        <f>C6^2*C5</f>
        <v>0.12822014057412223</v>
      </c>
      <c r="L8" s="20">
        <f>H12</f>
        <v>138.99600000000004</v>
      </c>
      <c r="M8" s="20">
        <f>H28</f>
        <v>0</v>
      </c>
    </row>
    <row r="9" spans="1:13" x14ac:dyDescent="0.2">
      <c r="A9" t="s">
        <v>60</v>
      </c>
      <c r="B9" t="s">
        <v>32</v>
      </c>
      <c r="C9" s="57">
        <v>165</v>
      </c>
      <c r="E9" s="18">
        <f>C8</f>
        <v>143</v>
      </c>
      <c r="I9" s="17"/>
      <c r="J9" s="16" t="s">
        <v>75</v>
      </c>
      <c r="K9" s="19">
        <f>C5*C6^2</f>
        <v>0.12822014057412223</v>
      </c>
      <c r="L9" s="20">
        <f>H14</f>
        <v>138.99600000000001</v>
      </c>
      <c r="M9" s="20">
        <f>H30</f>
        <v>0</v>
      </c>
    </row>
    <row r="10" spans="1:13" x14ac:dyDescent="0.2">
      <c r="A10" t="s">
        <v>61</v>
      </c>
      <c r="B10" t="s">
        <v>36</v>
      </c>
      <c r="C10" s="12">
        <v>4.4999999999999998E-2</v>
      </c>
      <c r="E10" s="21"/>
      <c r="F10" s="21"/>
      <c r="H10" s="50">
        <f>G11*C2</f>
        <v>185.32800000000003</v>
      </c>
      <c r="J10" s="16" t="s">
        <v>76</v>
      </c>
      <c r="K10" s="19">
        <f>C6^3</f>
        <v>0.13519563636242993</v>
      </c>
      <c r="L10" s="20">
        <f>H16</f>
        <v>104.24700000000001</v>
      </c>
      <c r="M10" s="20">
        <f>H32</f>
        <v>0</v>
      </c>
    </row>
    <row r="11" spans="1:13" x14ac:dyDescent="0.2">
      <c r="C11" s="23"/>
      <c r="E11" s="17"/>
      <c r="G11" s="18">
        <f>F13*C2</f>
        <v>154.44000000000003</v>
      </c>
      <c r="J11" s="16"/>
      <c r="K11" s="31"/>
      <c r="L11" s="20"/>
      <c r="M11" s="20"/>
    </row>
    <row r="12" spans="1:13" x14ac:dyDescent="0.2">
      <c r="A12" t="s">
        <v>62</v>
      </c>
      <c r="B12" t="s">
        <v>90</v>
      </c>
      <c r="C12" s="51">
        <f>SUMPRODUCT(M14:M16,K14:K16)</f>
        <v>16.885010264633102</v>
      </c>
      <c r="H12" s="50">
        <f>G11*C3</f>
        <v>138.99600000000004</v>
      </c>
      <c r="J12" s="16"/>
      <c r="K12" s="16"/>
      <c r="L12" s="16"/>
      <c r="M12" s="16"/>
    </row>
    <row r="13" spans="1:13" x14ac:dyDescent="0.2">
      <c r="A13" t="s">
        <v>66</v>
      </c>
      <c r="B13" t="s">
        <v>63</v>
      </c>
      <c r="C13" s="52">
        <f>C12/EXP(3*C10)</f>
        <v>14.752702137225731</v>
      </c>
      <c r="F13" s="18">
        <f>E9*C3</f>
        <v>128.70000000000002</v>
      </c>
      <c r="I13" s="16"/>
      <c r="J13" s="16"/>
      <c r="K13" s="15" t="s">
        <v>50</v>
      </c>
      <c r="L13" s="16" t="s">
        <v>51</v>
      </c>
      <c r="M13" s="16" t="s">
        <v>52</v>
      </c>
    </row>
    <row r="14" spans="1:13" x14ac:dyDescent="0.2">
      <c r="C14" s="9"/>
      <c r="H14" s="50">
        <f>G15*C2</f>
        <v>138.99600000000001</v>
      </c>
      <c r="I14" s="16"/>
      <c r="J14" s="16"/>
      <c r="K14" s="19">
        <f>K3</f>
        <v>0.11533029353439601</v>
      </c>
      <c r="L14" s="20">
        <f>L3</f>
        <v>247.10399999999998</v>
      </c>
      <c r="M14" s="20">
        <f>M3</f>
        <v>82.103999999999985</v>
      </c>
    </row>
    <row r="15" spans="1:13" x14ac:dyDescent="0.2">
      <c r="G15" s="18">
        <f>F13*C3</f>
        <v>115.83000000000001</v>
      </c>
      <c r="J15" s="16"/>
      <c r="K15" s="19">
        <f>SUM(K4,K5,K7)</f>
        <v>0.36481364838080738</v>
      </c>
      <c r="L15" s="20">
        <f>L4</f>
        <v>185.328</v>
      </c>
      <c r="M15" s="20">
        <f>M4</f>
        <v>20.328000000000003</v>
      </c>
    </row>
    <row r="16" spans="1:13" x14ac:dyDescent="0.2">
      <c r="C16" s="12"/>
      <c r="G16" s="17"/>
      <c r="H16" s="50">
        <f>G15*C3</f>
        <v>104.24700000000001</v>
      </c>
      <c r="J16" s="27"/>
      <c r="K16" s="19">
        <f>SUM(K6,K8,K9)</f>
        <v>0.3846604217223667</v>
      </c>
      <c r="L16" s="20">
        <f>L6</f>
        <v>138.99600000000001</v>
      </c>
      <c r="M16" s="20">
        <f>M6</f>
        <v>0</v>
      </c>
    </row>
    <row r="17" spans="3:13" x14ac:dyDescent="0.2">
      <c r="E17" s="24" t="s">
        <v>63</v>
      </c>
      <c r="F17" s="24" t="s">
        <v>64</v>
      </c>
      <c r="G17" s="24" t="s">
        <v>65</v>
      </c>
      <c r="H17" s="24" t="s">
        <v>68</v>
      </c>
      <c r="J17" s="16"/>
      <c r="K17" s="19">
        <f>K10</f>
        <v>0.13519563636242993</v>
      </c>
      <c r="L17" s="20">
        <f>L10</f>
        <v>104.24700000000001</v>
      </c>
      <c r="M17" s="20">
        <f>M10</f>
        <v>0</v>
      </c>
    </row>
    <row r="18" spans="3:13" x14ac:dyDescent="0.2">
      <c r="C18" s="9"/>
      <c r="E18" s="21"/>
      <c r="F18" s="21"/>
      <c r="G18" s="24"/>
      <c r="H18" s="50">
        <f>MAX(H2-$C$9,0)</f>
        <v>82.103999999999985</v>
      </c>
      <c r="J18" s="16"/>
      <c r="K18" s="31"/>
      <c r="L18" s="20"/>
    </row>
    <row r="19" spans="3:13" x14ac:dyDescent="0.2">
      <c r="E19" s="21"/>
      <c r="F19" s="21"/>
      <c r="G19" s="18">
        <f>($C$5*H18+$C$6*H20)/EXP($C$10)</f>
        <v>48.180415497538512</v>
      </c>
      <c r="J19" s="16"/>
      <c r="K19" s="16"/>
      <c r="L19" s="16"/>
    </row>
    <row r="20" spans="3:13" x14ac:dyDescent="0.2">
      <c r="E20" s="21"/>
      <c r="G20" s="28"/>
      <c r="H20" s="50">
        <f>MAX(H4-$C$9,0)</f>
        <v>20.328000000000003</v>
      </c>
      <c r="J20" s="16"/>
      <c r="K20" s="15" t="s">
        <v>50</v>
      </c>
      <c r="L20" s="16" t="s">
        <v>52</v>
      </c>
      <c r="M20" s="16"/>
    </row>
    <row r="21" spans="3:13" x14ac:dyDescent="0.2">
      <c r="F21" s="18">
        <f>(C5*G19+C6*G23)/EXP(C10)</f>
        <v>27.061658629924167</v>
      </c>
      <c r="G21" s="28"/>
      <c r="J21" s="16"/>
      <c r="K21" s="49">
        <f>K14</f>
        <v>0.11533029353439601</v>
      </c>
      <c r="L21" s="17">
        <f>M14</f>
        <v>82.103999999999985</v>
      </c>
      <c r="M21" s="16"/>
    </row>
    <row r="22" spans="3:13" x14ac:dyDescent="0.2">
      <c r="G22" s="21"/>
      <c r="H22" s="50">
        <f>MAX(H6-$C$9,0)</f>
        <v>20.328000000000003</v>
      </c>
      <c r="J22" s="16"/>
      <c r="K22" s="49">
        <f>K15</f>
        <v>0.36481364838080738</v>
      </c>
      <c r="L22" s="17">
        <f>M15</f>
        <v>20.328000000000003</v>
      </c>
      <c r="M22" s="16"/>
    </row>
    <row r="23" spans="3:13" x14ac:dyDescent="0.2">
      <c r="G23" s="18">
        <f>($C$5*H22+$C$6*H24)/EXP($C$10)</f>
        <v>9.4594495678902373</v>
      </c>
      <c r="J23" s="16"/>
      <c r="K23" s="49">
        <f>SUM(K16:K17)</f>
        <v>0.51985605808479662</v>
      </c>
      <c r="L23" s="17">
        <f>M16</f>
        <v>0</v>
      </c>
      <c r="M23" s="16"/>
    </row>
    <row r="24" spans="3:13" x14ac:dyDescent="0.2">
      <c r="G24" s="28"/>
      <c r="H24" s="50">
        <f>MAX(H8-$C$9,0)</f>
        <v>0</v>
      </c>
      <c r="J24" s="16"/>
      <c r="K24" s="16"/>
      <c r="L24" s="16"/>
      <c r="M24" s="16"/>
    </row>
    <row r="25" spans="3:13" x14ac:dyDescent="0.2">
      <c r="E25" s="18">
        <f>($C$5*F21+$C$6*F29)/EXP($C$10)</f>
        <v>10.181809860338008</v>
      </c>
      <c r="F25" s="21"/>
      <c r="G25" s="28"/>
      <c r="K25" s="16"/>
      <c r="L25" s="16"/>
    </row>
    <row r="26" spans="3:13" x14ac:dyDescent="0.2">
      <c r="E26" s="21"/>
      <c r="G26" s="17"/>
      <c r="H26" s="50">
        <f>MAX(H10-$C$9,0)</f>
        <v>20.328000000000031</v>
      </c>
    </row>
    <row r="27" spans="3:13" x14ac:dyDescent="0.2">
      <c r="G27" s="18">
        <f>G11-C9</f>
        <v>-10.559999999999974</v>
      </c>
    </row>
    <row r="28" spans="3:13" x14ac:dyDescent="0.2">
      <c r="H28" s="50">
        <f>MAX(H12-$C$9,0)</f>
        <v>0</v>
      </c>
    </row>
    <row r="29" spans="3:13" x14ac:dyDescent="0.2">
      <c r="F29" s="18">
        <f>($C$5*G27+$C$6*G31)/EXP($C$10)</f>
        <v>-4.9139997755273832</v>
      </c>
    </row>
    <row r="30" spans="3:13" x14ac:dyDescent="0.2">
      <c r="H30" s="50">
        <f>MAX(H14-$C$9,0)</f>
        <v>0</v>
      </c>
    </row>
    <row r="31" spans="3:13" x14ac:dyDescent="0.2">
      <c r="G31" s="18">
        <f>($C$5*H30+$C$6*H32)/EXP($C$10)</f>
        <v>0</v>
      </c>
    </row>
    <row r="32" spans="3:13" x14ac:dyDescent="0.2">
      <c r="H32" s="50">
        <f>MAX(H16-$C$9,0)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F810-254F-F74B-9D76-0F0A5CDFD639}">
  <dimension ref="A1:M77"/>
  <sheetViews>
    <sheetView workbookViewId="0">
      <selection activeCell="C9" sqref="C9"/>
    </sheetView>
  </sheetViews>
  <sheetFormatPr baseColWidth="10" defaultRowHeight="16" x14ac:dyDescent="0.2"/>
  <sheetData>
    <row r="1" spans="1:13" x14ac:dyDescent="0.2">
      <c r="A1" t="s">
        <v>44</v>
      </c>
      <c r="B1" t="s">
        <v>45</v>
      </c>
      <c r="C1" s="9">
        <v>1.2</v>
      </c>
      <c r="E1" s="14" t="s">
        <v>46</v>
      </c>
      <c r="F1" s="14" t="s">
        <v>47</v>
      </c>
      <c r="G1" s="14" t="s">
        <v>48</v>
      </c>
      <c r="H1" s="39" t="s">
        <v>67</v>
      </c>
      <c r="J1" s="14" t="s">
        <v>49</v>
      </c>
      <c r="K1" s="15" t="s">
        <v>50</v>
      </c>
      <c r="L1" s="16" t="s">
        <v>51</v>
      </c>
      <c r="M1" s="16" t="s">
        <v>52</v>
      </c>
    </row>
    <row r="2" spans="1:13" x14ac:dyDescent="0.2">
      <c r="A2" t="s">
        <v>53</v>
      </c>
      <c r="B2" t="s">
        <v>54</v>
      </c>
      <c r="C2" s="9">
        <v>0.9</v>
      </c>
      <c r="E2" s="17"/>
      <c r="F2" s="17"/>
      <c r="G2" s="17"/>
      <c r="H2" s="40">
        <f>G3*C1</f>
        <v>247.10399999999998</v>
      </c>
      <c r="J2" s="16" t="s">
        <v>69</v>
      </c>
      <c r="K2" s="29">
        <f>C4^3</f>
        <v>0.11533029353439601</v>
      </c>
      <c r="L2" s="17">
        <f>H2</f>
        <v>247.10399999999998</v>
      </c>
      <c r="M2" s="17">
        <f>H20</f>
        <v>0</v>
      </c>
    </row>
    <row r="3" spans="1:13" x14ac:dyDescent="0.2">
      <c r="E3" s="17"/>
      <c r="F3" s="17"/>
      <c r="G3" s="18">
        <f>F5*C1</f>
        <v>205.92</v>
      </c>
      <c r="H3" s="39"/>
      <c r="J3" s="16" t="s">
        <v>70</v>
      </c>
      <c r="K3" s="29">
        <f>C4^2*C5</f>
        <v>0.12160454946026912</v>
      </c>
      <c r="L3" s="17">
        <f>H4</f>
        <v>185.328</v>
      </c>
      <c r="M3" s="17">
        <f>H22</f>
        <v>0</v>
      </c>
    </row>
    <row r="4" spans="1:13" x14ac:dyDescent="0.2">
      <c r="A4" t="s">
        <v>55</v>
      </c>
      <c r="B4" t="s">
        <v>56</v>
      </c>
      <c r="C4" s="25">
        <f>(EXP(C9)-C2)/(C1-C2)</f>
        <v>0.4867595330290565</v>
      </c>
      <c r="E4" s="21"/>
      <c r="F4" s="17"/>
      <c r="G4" s="17"/>
      <c r="H4" s="40">
        <f>G3*C2</f>
        <v>185.328</v>
      </c>
      <c r="J4" s="16" t="s">
        <v>71</v>
      </c>
      <c r="K4" s="29">
        <f>C4^2*C5</f>
        <v>0.12160454946026912</v>
      </c>
      <c r="L4" s="17">
        <f>H6</f>
        <v>185.328</v>
      </c>
      <c r="M4" s="17">
        <f>H24</f>
        <v>0</v>
      </c>
    </row>
    <row r="5" spans="1:13" x14ac:dyDescent="0.2">
      <c r="A5" t="s">
        <v>57</v>
      </c>
      <c r="B5" t="s">
        <v>58</v>
      </c>
      <c r="C5" s="25">
        <f>1-C4</f>
        <v>0.5132404669709435</v>
      </c>
      <c r="E5" s="17"/>
      <c r="F5" s="18">
        <f>E9*C1</f>
        <v>171.6</v>
      </c>
      <c r="G5" s="17"/>
      <c r="H5" s="39"/>
      <c r="J5" s="16" t="s">
        <v>72</v>
      </c>
      <c r="K5" s="29">
        <f>C4*C5^2</f>
        <v>0.12822014057412223</v>
      </c>
      <c r="L5" s="17">
        <f>H8</f>
        <v>138.99600000000001</v>
      </c>
      <c r="M5" s="17">
        <f>H26</f>
        <v>26.003999999999991</v>
      </c>
    </row>
    <row r="6" spans="1:13" x14ac:dyDescent="0.2">
      <c r="E6" s="21"/>
      <c r="F6" s="17"/>
      <c r="G6" s="17"/>
      <c r="H6" s="40">
        <f>G7*C1</f>
        <v>185.328</v>
      </c>
      <c r="J6" s="16" t="s">
        <v>73</v>
      </c>
      <c r="K6" s="29">
        <f>C4^2*C5</f>
        <v>0.12160454946026912</v>
      </c>
      <c r="L6" s="17">
        <f>H10</f>
        <v>185.32800000000003</v>
      </c>
      <c r="M6" s="17">
        <f>H28</f>
        <v>0</v>
      </c>
    </row>
    <row r="7" spans="1:13" x14ac:dyDescent="0.2">
      <c r="A7" s="17" t="s">
        <v>59</v>
      </c>
      <c r="B7" s="17" t="s">
        <v>46</v>
      </c>
      <c r="C7" s="22">
        <v>143</v>
      </c>
      <c r="E7" s="17"/>
      <c r="F7" s="21"/>
      <c r="G7" s="18">
        <f>F5*C2</f>
        <v>154.44</v>
      </c>
      <c r="H7" s="39"/>
      <c r="J7" s="16" t="s">
        <v>74</v>
      </c>
      <c r="K7" s="29">
        <f>C4*C5^2</f>
        <v>0.12822014057412223</v>
      </c>
      <c r="L7" s="17">
        <f>H12</f>
        <v>138.99600000000004</v>
      </c>
      <c r="M7" s="17">
        <f>H30</f>
        <v>26.003999999999962</v>
      </c>
    </row>
    <row r="8" spans="1:13" x14ac:dyDescent="0.2">
      <c r="A8" t="s">
        <v>60</v>
      </c>
      <c r="B8" t="s">
        <v>32</v>
      </c>
      <c r="C8" s="22">
        <v>165</v>
      </c>
      <c r="E8" s="21"/>
      <c r="F8" s="17"/>
      <c r="G8" s="17"/>
      <c r="H8" s="40">
        <f>G7*C2</f>
        <v>138.99600000000001</v>
      </c>
      <c r="J8" s="16" t="s">
        <v>75</v>
      </c>
      <c r="K8" s="29">
        <f>C4*C5^2</f>
        <v>0.12822014057412223</v>
      </c>
      <c r="L8" s="17">
        <f>H14</f>
        <v>138.99600000000001</v>
      </c>
      <c r="M8" s="17">
        <f>H32</f>
        <v>26.003999999999991</v>
      </c>
    </row>
    <row r="9" spans="1:13" x14ac:dyDescent="0.2">
      <c r="A9" t="s">
        <v>61</v>
      </c>
      <c r="B9" t="s">
        <v>36</v>
      </c>
      <c r="C9" s="12">
        <v>4.4999999999999998E-2</v>
      </c>
      <c r="E9" s="18">
        <f>C7</f>
        <v>143</v>
      </c>
      <c r="F9" s="17"/>
      <c r="G9" s="17"/>
      <c r="H9" s="39"/>
      <c r="J9" s="16" t="s">
        <v>76</v>
      </c>
      <c r="K9" s="29">
        <f>C5^3</f>
        <v>0.13519563636242993</v>
      </c>
      <c r="L9" s="17">
        <f>H16</f>
        <v>104.24700000000001</v>
      </c>
      <c r="M9" s="17">
        <f>H34</f>
        <v>60.752999999999986</v>
      </c>
    </row>
    <row r="10" spans="1:13" x14ac:dyDescent="0.2">
      <c r="C10" s="23"/>
      <c r="E10" s="21"/>
      <c r="F10" s="17"/>
      <c r="G10" s="17"/>
      <c r="H10" s="40">
        <f>G11*C1</f>
        <v>185.32800000000003</v>
      </c>
      <c r="J10" s="16"/>
      <c r="K10" s="30"/>
      <c r="L10" s="16"/>
      <c r="M10" s="16"/>
    </row>
    <row r="11" spans="1:13" x14ac:dyDescent="0.2">
      <c r="A11" t="s">
        <v>62</v>
      </c>
      <c r="B11" t="s">
        <v>90</v>
      </c>
      <c r="C11" s="51">
        <f>SUMPRODUCT(K18:K19,L18:L19)</f>
        <v>8.2135404959267042</v>
      </c>
      <c r="E11" s="17"/>
      <c r="F11" s="17"/>
      <c r="G11" s="18">
        <f>F13*C1</f>
        <v>154.44000000000003</v>
      </c>
      <c r="H11" s="39"/>
      <c r="J11" s="16"/>
      <c r="K11" s="15" t="s">
        <v>50</v>
      </c>
      <c r="L11" s="16" t="s">
        <v>51</v>
      </c>
      <c r="M11" s="16" t="s">
        <v>52</v>
      </c>
    </row>
    <row r="12" spans="1:13" x14ac:dyDescent="0.2">
      <c r="A12" t="s">
        <v>91</v>
      </c>
      <c r="B12" t="s">
        <v>63</v>
      </c>
      <c r="C12" s="52">
        <f>C11/EXP(3*C9)</f>
        <v>7.1763010225851902</v>
      </c>
      <c r="E12" s="17"/>
      <c r="F12" s="17"/>
      <c r="G12" s="17"/>
      <c r="H12" s="40">
        <f>G11*C2</f>
        <v>138.99600000000004</v>
      </c>
      <c r="J12" s="16"/>
      <c r="K12" s="19">
        <f>K2</f>
        <v>0.11533029353439601</v>
      </c>
      <c r="L12" s="17">
        <f>L2</f>
        <v>247.10399999999998</v>
      </c>
      <c r="M12" s="17">
        <f>M2</f>
        <v>0</v>
      </c>
    </row>
    <row r="13" spans="1:13" x14ac:dyDescent="0.2">
      <c r="C13" s="9"/>
      <c r="E13" s="17"/>
      <c r="F13" s="18">
        <f>E9*C2</f>
        <v>128.70000000000002</v>
      </c>
      <c r="G13" s="17"/>
      <c r="H13" s="39"/>
      <c r="J13" s="16"/>
      <c r="K13" s="19">
        <f>SUM(K3,K4,K6)</f>
        <v>0.36481364838080738</v>
      </c>
      <c r="L13" s="17">
        <f>L3</f>
        <v>185.328</v>
      </c>
      <c r="M13" s="17">
        <f>M4</f>
        <v>0</v>
      </c>
    </row>
    <row r="14" spans="1:13" x14ac:dyDescent="0.2">
      <c r="E14" s="17"/>
      <c r="F14" s="21"/>
      <c r="G14" s="17"/>
      <c r="H14" s="40">
        <f>G15*C1</f>
        <v>138.99600000000001</v>
      </c>
      <c r="J14" s="16"/>
      <c r="K14" s="19">
        <f>SUM(K5,K7,K8)</f>
        <v>0.3846604217223667</v>
      </c>
      <c r="L14" s="17">
        <f>L5</f>
        <v>138.99600000000001</v>
      </c>
      <c r="M14" s="17">
        <f>M5</f>
        <v>26.003999999999991</v>
      </c>
    </row>
    <row r="15" spans="1:13" x14ac:dyDescent="0.2">
      <c r="C15" s="41"/>
      <c r="E15" s="17"/>
      <c r="F15" s="17"/>
      <c r="G15" s="18">
        <f>F13*C2</f>
        <v>115.83000000000001</v>
      </c>
      <c r="H15" s="39"/>
      <c r="I15" s="15"/>
      <c r="J15" s="16"/>
      <c r="K15" s="19">
        <f>K9</f>
        <v>0.13519563636242993</v>
      </c>
      <c r="L15" s="17">
        <f>L9</f>
        <v>104.24700000000001</v>
      </c>
      <c r="M15" s="17">
        <f>M9</f>
        <v>60.752999999999986</v>
      </c>
    </row>
    <row r="16" spans="1:13" x14ac:dyDescent="0.2">
      <c r="E16" s="17"/>
      <c r="F16" s="17"/>
      <c r="G16" s="17"/>
      <c r="H16" s="40">
        <f>G15*C2</f>
        <v>104.24700000000001</v>
      </c>
      <c r="I16" s="15"/>
      <c r="J16" s="16"/>
      <c r="K16" s="30"/>
      <c r="L16" s="16"/>
      <c r="M16" s="16"/>
    </row>
    <row r="17" spans="3:13" x14ac:dyDescent="0.2">
      <c r="C17" s="9"/>
      <c r="E17" s="17"/>
      <c r="F17" s="17"/>
      <c r="G17" s="17"/>
      <c r="H17" s="39"/>
      <c r="I17" s="15"/>
      <c r="J17" s="16"/>
      <c r="K17" s="15" t="s">
        <v>50</v>
      </c>
      <c r="L17" s="16" t="s">
        <v>52</v>
      </c>
      <c r="M17" s="16"/>
    </row>
    <row r="18" spans="3:13" x14ac:dyDescent="0.2">
      <c r="E18" s="17"/>
      <c r="F18" s="17"/>
      <c r="G18" s="17"/>
      <c r="H18" s="39"/>
      <c r="I18" s="15"/>
      <c r="J18" s="16"/>
      <c r="K18" s="49">
        <f>SUM(K12:K14)</f>
        <v>0.86480436363757007</v>
      </c>
      <c r="L18" s="17">
        <f>M12</f>
        <v>0</v>
      </c>
      <c r="M18" s="16"/>
    </row>
    <row r="19" spans="3:13" x14ac:dyDescent="0.2">
      <c r="E19" s="24" t="s">
        <v>63</v>
      </c>
      <c r="F19" s="24" t="s">
        <v>64</v>
      </c>
      <c r="G19" s="24" t="s">
        <v>65</v>
      </c>
      <c r="H19" s="39" t="s">
        <v>68</v>
      </c>
      <c r="I19" s="15"/>
      <c r="J19" s="16"/>
      <c r="K19" s="49">
        <f>K15</f>
        <v>0.13519563636242993</v>
      </c>
      <c r="L19" s="17">
        <f>M15</f>
        <v>60.752999999999986</v>
      </c>
      <c r="M19" s="16"/>
    </row>
    <row r="20" spans="3:13" x14ac:dyDescent="0.2">
      <c r="C20" s="17"/>
      <c r="E20" s="17"/>
      <c r="F20" s="17"/>
      <c r="G20" s="17"/>
      <c r="H20" s="40">
        <f>MAX($C$8-H2,0)</f>
        <v>0</v>
      </c>
      <c r="I20" s="15"/>
      <c r="J20" s="16"/>
      <c r="K20" s="48"/>
      <c r="L20" s="17"/>
      <c r="M20" s="16"/>
    </row>
    <row r="21" spans="3:13" x14ac:dyDescent="0.2">
      <c r="C21" s="9"/>
      <c r="E21" s="17"/>
      <c r="F21" s="17"/>
      <c r="G21" s="18">
        <f>($C$4*H20+$C$5*H22)/EXP($C$9)</f>
        <v>0</v>
      </c>
      <c r="H21" s="39"/>
      <c r="J21" s="16"/>
      <c r="K21" s="16"/>
      <c r="L21" s="16"/>
      <c r="M21" s="48"/>
    </row>
    <row r="22" spans="3:13" x14ac:dyDescent="0.2">
      <c r="E22" s="17"/>
      <c r="F22" s="17"/>
      <c r="G22" s="17"/>
      <c r="H22" s="40">
        <f>MAX($C$8-H4,0)</f>
        <v>0</v>
      </c>
      <c r="J22" s="16"/>
      <c r="K22" s="16"/>
      <c r="L22" s="16"/>
      <c r="M22" s="16"/>
    </row>
    <row r="23" spans="3:13" x14ac:dyDescent="0.2">
      <c r="C23" s="10"/>
      <c r="E23" s="17"/>
      <c r="F23" s="18">
        <f>($C$4*G21+$C$5*G25)/EXP($C$9)</f>
        <v>6.2603041996768152</v>
      </c>
      <c r="H23" s="39"/>
      <c r="J23" s="16"/>
      <c r="K23" s="16"/>
      <c r="L23" s="16"/>
      <c r="M23" s="16"/>
    </row>
    <row r="24" spans="3:13" x14ac:dyDescent="0.2">
      <c r="C24" s="10"/>
      <c r="E24" s="21"/>
      <c r="F24" s="21"/>
      <c r="G24" s="17"/>
      <c r="H24" s="40">
        <f>MAX($C$8-H6,0)</f>
        <v>0</v>
      </c>
      <c r="J24" s="16"/>
      <c r="L24" s="16"/>
      <c r="M24" s="16"/>
    </row>
    <row r="25" spans="3:13" x14ac:dyDescent="0.2">
      <c r="E25" s="21"/>
      <c r="G25" s="18">
        <f>($C$4*H24+$C$5*H26)/EXP($C$9)</f>
        <v>12.759034070351715</v>
      </c>
      <c r="H25" s="39"/>
      <c r="J25" s="16"/>
      <c r="K25" s="16"/>
      <c r="L25" s="16"/>
      <c r="M25" s="16"/>
    </row>
    <row r="26" spans="3:13" x14ac:dyDescent="0.2">
      <c r="C26" s="23"/>
      <c r="E26" s="21"/>
      <c r="G26" s="17"/>
      <c r="H26" s="40">
        <f>MAX($C$8-H8,0)</f>
        <v>26.003999999999991</v>
      </c>
      <c r="J26" s="16"/>
      <c r="K26" s="16"/>
      <c r="L26" s="16"/>
      <c r="M26" s="16"/>
    </row>
    <row r="27" spans="3:13" x14ac:dyDescent="0.2">
      <c r="C27" s="23"/>
      <c r="E27" s="18">
        <f>($C$4*F23+$C$5*F31)/EXP($C$9)</f>
        <v>15.915827565751401</v>
      </c>
      <c r="F27" s="21"/>
      <c r="G27" s="17"/>
      <c r="H27" s="39"/>
      <c r="J27" s="16"/>
      <c r="K27" s="16"/>
      <c r="L27" s="16"/>
      <c r="M27" s="16"/>
    </row>
    <row r="28" spans="3:13" x14ac:dyDescent="0.2">
      <c r="C28" s="23"/>
      <c r="F28" s="21"/>
      <c r="H28" s="40">
        <f>MAX($C$8-H10,0)</f>
        <v>0</v>
      </c>
      <c r="J28" s="16"/>
      <c r="K28" s="16"/>
      <c r="L28" s="16"/>
      <c r="M28" s="16"/>
    </row>
    <row r="29" spans="3:13" x14ac:dyDescent="0.2">
      <c r="E29" s="21"/>
      <c r="G29" s="18">
        <f>($C$4*H28+$C$5*H30)/EXP($C$9)</f>
        <v>12.759034070351701</v>
      </c>
      <c r="H29" s="39"/>
      <c r="I29" s="15"/>
      <c r="J29" s="16"/>
      <c r="K29" s="16"/>
      <c r="L29" s="16"/>
      <c r="M29" s="16"/>
    </row>
    <row r="30" spans="3:13" x14ac:dyDescent="0.2">
      <c r="C30" s="42"/>
      <c r="E30" s="21"/>
      <c r="H30" s="40">
        <f>MAX($C$8-H12,0)</f>
        <v>26.003999999999962</v>
      </c>
      <c r="I30" s="15"/>
      <c r="J30" s="16"/>
      <c r="K30" s="16"/>
      <c r="L30" s="16"/>
      <c r="M30" s="16"/>
    </row>
    <row r="31" spans="3:13" x14ac:dyDescent="0.2">
      <c r="C31" s="42"/>
      <c r="E31" s="17"/>
      <c r="F31" s="18">
        <f>($C$4*G29+$C$5*G33)/EXP($C$9)</f>
        <v>26.500514230095945</v>
      </c>
      <c r="G31" s="17"/>
      <c r="H31" s="39"/>
      <c r="I31" s="15"/>
      <c r="J31" s="16"/>
      <c r="K31" s="16"/>
      <c r="L31" s="16"/>
      <c r="M31" s="16"/>
    </row>
    <row r="32" spans="3:13" x14ac:dyDescent="0.2">
      <c r="E32" s="17"/>
      <c r="F32" s="17"/>
      <c r="G32" s="17"/>
      <c r="H32" s="40">
        <f>MAX($C$8-H14,0)</f>
        <v>26.003999999999991</v>
      </c>
      <c r="I32" s="15"/>
      <c r="J32" s="16"/>
      <c r="K32" s="16"/>
      <c r="L32" s="16"/>
      <c r="M32" s="16"/>
    </row>
    <row r="33" spans="3:13" x14ac:dyDescent="0.2">
      <c r="C33" s="10"/>
      <c r="E33" s="17"/>
      <c r="F33" s="17"/>
      <c r="G33" s="18">
        <f>($C$4*H32+$C$5*H34)/EXP($C$9)</f>
        <v>41.909584502461477</v>
      </c>
      <c r="H33" s="39"/>
      <c r="I33" s="15"/>
      <c r="J33" s="16"/>
      <c r="K33" s="16"/>
      <c r="L33" s="16"/>
      <c r="M33" s="16"/>
    </row>
    <row r="34" spans="3:13" x14ac:dyDescent="0.2">
      <c r="E34" s="17"/>
      <c r="F34" s="17"/>
      <c r="G34" s="17"/>
      <c r="H34" s="40">
        <f>MAX($C$8-H16,0)</f>
        <v>60.752999999999986</v>
      </c>
      <c r="I34" s="15"/>
      <c r="J34" s="16"/>
      <c r="L34" s="16"/>
      <c r="M34" s="16"/>
    </row>
    <row r="74" spans="7:10" x14ac:dyDescent="0.2">
      <c r="G74" s="23">
        <v>168</v>
      </c>
      <c r="H74" s="44">
        <f>MAX(0, 'Call &amp; Put Option Value-Profit'!$H$2-G74)</f>
        <v>0</v>
      </c>
      <c r="I74" s="44">
        <f>MAX(0, G74-'Call &amp; Put Option Value-Profit'!$H$2)</f>
        <v>23</v>
      </c>
      <c r="J74" s="44">
        <f>H74+I74-('Call &amp; Put Option Value-Profit'!$H$3+'Call &amp; Put Option Value-Profit'!$H$4)</f>
        <v>10.45</v>
      </c>
    </row>
    <row r="75" spans="7:10" x14ac:dyDescent="0.2">
      <c r="G75" s="23">
        <v>169</v>
      </c>
      <c r="H75" s="44">
        <f>MAX(0, 'Call &amp; Put Option Value-Profit'!$H$2-G75)</f>
        <v>0</v>
      </c>
      <c r="I75" s="44">
        <f>MAX(0, G75-'Call &amp; Put Option Value-Profit'!$H$2)</f>
        <v>24</v>
      </c>
      <c r="J75" s="44">
        <f>H75+I75-('Call &amp; Put Option Value-Profit'!$H$3+'Call &amp; Put Option Value-Profit'!$H$4)</f>
        <v>11.45</v>
      </c>
    </row>
    <row r="76" spans="7:10" x14ac:dyDescent="0.2">
      <c r="G76" s="23">
        <v>170</v>
      </c>
      <c r="H76" s="44">
        <f>MAX(0, 'Call &amp; Put Option Value-Profit'!$H$2-G76)</f>
        <v>0</v>
      </c>
      <c r="I76" s="44">
        <f>MAX(0, G76-'Call &amp; Put Option Value-Profit'!$H$2)</f>
        <v>25</v>
      </c>
      <c r="J76" s="44">
        <f>H76+I76-('Call &amp; Put Option Value-Profit'!$H$3+'Call &amp; Put Option Value-Profit'!$H$4)</f>
        <v>12.45</v>
      </c>
    </row>
    <row r="77" spans="7:10" x14ac:dyDescent="0.2">
      <c r="G77" s="23">
        <v>171</v>
      </c>
      <c r="H77" s="44">
        <f>MAX(0, 'Call &amp; Put Option Value-Profit'!$H$2-G77)</f>
        <v>0</v>
      </c>
      <c r="I77" s="44">
        <f>MAX(0, G77-'Call &amp; Put Option Value-Profit'!$H$2)</f>
        <v>26</v>
      </c>
      <c r="J77" s="44">
        <f>H77+I77-('Call &amp; Put Option Value-Profit'!$H$3+'Call &amp; Put Option Value-Profit'!$H$4)</f>
        <v>13.45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80C6-95F1-5D49-B481-258514753C83}">
  <dimension ref="A1:P70"/>
  <sheetViews>
    <sheetView workbookViewId="0">
      <selection activeCell="H5" sqref="H5"/>
    </sheetView>
  </sheetViews>
  <sheetFormatPr baseColWidth="10" defaultRowHeight="16" x14ac:dyDescent="0.2"/>
  <cols>
    <col min="14" max="15" width="15.6640625" bestFit="1" customWidth="1"/>
  </cols>
  <sheetData>
    <row r="1" spans="1:16" x14ac:dyDescent="0.2">
      <c r="A1" t="s">
        <v>154</v>
      </c>
      <c r="B1">
        <v>147.72999999999999</v>
      </c>
      <c r="G1" t="s">
        <v>29</v>
      </c>
      <c r="H1" s="23">
        <v>147.72999999999999</v>
      </c>
      <c r="I1" t="s">
        <v>153</v>
      </c>
      <c r="J1" s="23">
        <v>146</v>
      </c>
    </row>
    <row r="2" spans="1:16" x14ac:dyDescent="0.2">
      <c r="A2" t="s">
        <v>93</v>
      </c>
      <c r="B2">
        <v>130</v>
      </c>
      <c r="G2" t="s">
        <v>93</v>
      </c>
      <c r="H2" s="23">
        <v>145</v>
      </c>
      <c r="I2" s="23"/>
      <c r="J2" s="42"/>
    </row>
    <row r="3" spans="1:16" x14ac:dyDescent="0.2">
      <c r="A3" t="s">
        <v>94</v>
      </c>
      <c r="B3" s="23">
        <v>1.1100000000000001</v>
      </c>
      <c r="G3" t="s">
        <v>100</v>
      </c>
      <c r="H3" s="23">
        <v>7.5</v>
      </c>
      <c r="I3" s="23"/>
    </row>
    <row r="4" spans="1:16" x14ac:dyDescent="0.2">
      <c r="A4" t="s">
        <v>95</v>
      </c>
      <c r="D4" s="44">
        <f>B1-B3</f>
        <v>146.61999999999998</v>
      </c>
      <c r="G4" t="s">
        <v>101</v>
      </c>
      <c r="H4" s="23">
        <v>5.05</v>
      </c>
      <c r="I4" s="23"/>
    </row>
    <row r="5" spans="1:16" x14ac:dyDescent="0.2">
      <c r="D5" s="45"/>
      <c r="H5" s="23"/>
      <c r="I5" s="23"/>
      <c r="J5" t="s">
        <v>105</v>
      </c>
      <c r="K5" t="s">
        <v>106</v>
      </c>
    </row>
    <row r="6" spans="1:16" x14ac:dyDescent="0.2">
      <c r="A6" s="46" t="s">
        <v>96</v>
      </c>
      <c r="G6" t="s">
        <v>102</v>
      </c>
      <c r="J6" s="44">
        <f>H2-(H3+H4)</f>
        <v>132.44999999999999</v>
      </c>
      <c r="K6" s="44">
        <f>H2+(H3+H4)</f>
        <v>157.55000000000001</v>
      </c>
    </row>
    <row r="7" spans="1:16" ht="20" x14ac:dyDescent="0.2">
      <c r="A7" s="47" t="s">
        <v>97</v>
      </c>
      <c r="B7" s="47" t="s">
        <v>104</v>
      </c>
      <c r="C7" s="47" t="s">
        <v>99</v>
      </c>
      <c r="N7" s="53" t="s">
        <v>108</v>
      </c>
      <c r="O7" s="54"/>
      <c r="P7" s="53" t="s">
        <v>109</v>
      </c>
    </row>
    <row r="8" spans="1:16" ht="20" x14ac:dyDescent="0.2">
      <c r="A8" s="43">
        <v>140</v>
      </c>
      <c r="B8" s="44">
        <f>MAX(0,$B$2-A8)</f>
        <v>0</v>
      </c>
      <c r="C8" s="44">
        <f>B8-$B$3</f>
        <v>-1.1100000000000001</v>
      </c>
      <c r="G8" s="46" t="s">
        <v>103</v>
      </c>
      <c r="N8" s="55" t="s">
        <v>110</v>
      </c>
      <c r="O8" s="53" t="s">
        <v>107</v>
      </c>
      <c r="P8" s="55" t="s">
        <v>110</v>
      </c>
    </row>
    <row r="9" spans="1:16" ht="20" x14ac:dyDescent="0.2">
      <c r="A9" s="43">
        <v>141</v>
      </c>
      <c r="B9" s="44">
        <f t="shared" ref="B9:B37" si="0">MAX(0,$B$2-A9)</f>
        <v>0</v>
      </c>
      <c r="C9" s="44">
        <f t="shared" ref="C9:C37" si="1">B9-$B$3</f>
        <v>-1.1100000000000001</v>
      </c>
      <c r="G9" s="47" t="s">
        <v>97</v>
      </c>
      <c r="H9" s="47" t="s">
        <v>104</v>
      </c>
      <c r="I9" s="47" t="s">
        <v>98</v>
      </c>
      <c r="J9" s="47" t="s">
        <v>99</v>
      </c>
      <c r="N9" s="54" t="s">
        <v>111</v>
      </c>
      <c r="O9" s="54" t="s">
        <v>112</v>
      </c>
      <c r="P9" s="54" t="s">
        <v>113</v>
      </c>
    </row>
    <row r="10" spans="1:16" ht="20" x14ac:dyDescent="0.2">
      <c r="A10" s="43">
        <v>142</v>
      </c>
      <c r="B10" s="44">
        <f t="shared" si="0"/>
        <v>0</v>
      </c>
      <c r="C10" s="44">
        <f t="shared" si="1"/>
        <v>-1.1100000000000001</v>
      </c>
      <c r="G10" s="43">
        <v>110</v>
      </c>
      <c r="H10" s="44">
        <f>MAX(0, $H$2-G10)</f>
        <v>35</v>
      </c>
      <c r="I10" s="44">
        <f>MAX(0, G10-$H$2)</f>
        <v>0</v>
      </c>
      <c r="J10" s="56">
        <f>H10+I10-($H$3+$H$4)</f>
        <v>22.45</v>
      </c>
      <c r="N10" s="54" t="s">
        <v>114</v>
      </c>
      <c r="O10" s="54" t="s">
        <v>115</v>
      </c>
      <c r="P10" s="54" t="s">
        <v>116</v>
      </c>
    </row>
    <row r="11" spans="1:16" ht="20" x14ac:dyDescent="0.2">
      <c r="A11" s="43">
        <v>143</v>
      </c>
      <c r="B11" s="44">
        <f t="shared" si="0"/>
        <v>0</v>
      </c>
      <c r="C11" s="44">
        <f t="shared" si="1"/>
        <v>-1.1100000000000001</v>
      </c>
      <c r="G11" s="43">
        <v>111</v>
      </c>
      <c r="H11" s="44">
        <f t="shared" ref="H11:H70" si="2">MAX(0, $H$2-G11)</f>
        <v>34</v>
      </c>
      <c r="I11" s="44">
        <f t="shared" ref="I11:I70" si="3">MAX(0, G11-$H$2)</f>
        <v>0</v>
      </c>
      <c r="J11" s="44">
        <f t="shared" ref="J11:J70" si="4">H11+I11-($H$3+$H$4)</f>
        <v>21.45</v>
      </c>
      <c r="N11" s="54" t="s">
        <v>117</v>
      </c>
      <c r="O11" s="54" t="s">
        <v>118</v>
      </c>
      <c r="P11" s="54" t="s">
        <v>119</v>
      </c>
    </row>
    <row r="12" spans="1:16" ht="20" x14ac:dyDescent="0.2">
      <c r="A12" s="43">
        <v>144</v>
      </c>
      <c r="B12" s="44">
        <f t="shared" si="0"/>
        <v>0</v>
      </c>
      <c r="C12" s="44">
        <f t="shared" si="1"/>
        <v>-1.1100000000000001</v>
      </c>
      <c r="G12" s="43">
        <v>112</v>
      </c>
      <c r="H12" s="44">
        <f t="shared" si="2"/>
        <v>33</v>
      </c>
      <c r="I12" s="44">
        <f t="shared" si="3"/>
        <v>0</v>
      </c>
      <c r="J12" s="44">
        <f t="shared" si="4"/>
        <v>20.45</v>
      </c>
      <c r="N12" s="54" t="s">
        <v>120</v>
      </c>
      <c r="O12" s="54" t="s">
        <v>121</v>
      </c>
      <c r="P12" s="54" t="s">
        <v>122</v>
      </c>
    </row>
    <row r="13" spans="1:16" ht="20" x14ac:dyDescent="0.2">
      <c r="A13" s="43">
        <v>145</v>
      </c>
      <c r="B13" s="44">
        <f t="shared" si="0"/>
        <v>0</v>
      </c>
      <c r="C13" s="44">
        <f t="shared" si="1"/>
        <v>-1.1100000000000001</v>
      </c>
      <c r="G13" s="43">
        <v>113</v>
      </c>
      <c r="H13" s="44">
        <f t="shared" si="2"/>
        <v>32</v>
      </c>
      <c r="I13" s="44">
        <f t="shared" si="3"/>
        <v>0</v>
      </c>
      <c r="J13" s="44">
        <f t="shared" si="4"/>
        <v>19.45</v>
      </c>
      <c r="N13" s="54" t="s">
        <v>123</v>
      </c>
      <c r="O13" s="54" t="s">
        <v>124</v>
      </c>
      <c r="P13" s="54" t="s">
        <v>125</v>
      </c>
    </row>
    <row r="14" spans="1:16" ht="20" x14ac:dyDescent="0.2">
      <c r="A14" s="43">
        <v>146</v>
      </c>
      <c r="B14" s="44">
        <f t="shared" si="0"/>
        <v>0</v>
      </c>
      <c r="C14" s="44">
        <f t="shared" si="1"/>
        <v>-1.1100000000000001</v>
      </c>
      <c r="G14" s="43">
        <v>114</v>
      </c>
      <c r="H14" s="44">
        <f t="shared" si="2"/>
        <v>31</v>
      </c>
      <c r="I14" s="44">
        <f t="shared" si="3"/>
        <v>0</v>
      </c>
      <c r="J14" s="56">
        <f t="shared" si="4"/>
        <v>18.45</v>
      </c>
      <c r="N14" s="54" t="s">
        <v>126</v>
      </c>
      <c r="O14" s="54" t="s">
        <v>127</v>
      </c>
      <c r="P14" s="54" t="s">
        <v>128</v>
      </c>
    </row>
    <row r="15" spans="1:16" ht="20" x14ac:dyDescent="0.2">
      <c r="A15" s="43">
        <v>147</v>
      </c>
      <c r="B15" s="44">
        <f t="shared" si="0"/>
        <v>0</v>
      </c>
      <c r="C15" s="44">
        <f t="shared" si="1"/>
        <v>-1.1100000000000001</v>
      </c>
      <c r="G15" s="43">
        <v>115</v>
      </c>
      <c r="H15" s="44">
        <f t="shared" si="2"/>
        <v>30</v>
      </c>
      <c r="I15" s="44">
        <f t="shared" si="3"/>
        <v>0</v>
      </c>
      <c r="J15" s="44">
        <f t="shared" si="4"/>
        <v>17.45</v>
      </c>
      <c r="N15" s="54" t="s">
        <v>129</v>
      </c>
      <c r="O15" s="54" t="s">
        <v>130</v>
      </c>
      <c r="P15" s="54" t="s">
        <v>131</v>
      </c>
    </row>
    <row r="16" spans="1:16" ht="20" x14ac:dyDescent="0.2">
      <c r="A16" s="43">
        <v>148</v>
      </c>
      <c r="B16" s="44">
        <f t="shared" si="0"/>
        <v>0</v>
      </c>
      <c r="C16" s="44">
        <f t="shared" si="1"/>
        <v>-1.1100000000000001</v>
      </c>
      <c r="G16" s="43">
        <v>116</v>
      </c>
      <c r="H16" s="44">
        <f t="shared" si="2"/>
        <v>29</v>
      </c>
      <c r="I16" s="44">
        <f t="shared" si="3"/>
        <v>0</v>
      </c>
      <c r="J16" s="44">
        <f t="shared" si="4"/>
        <v>16.45</v>
      </c>
      <c r="N16" s="54" t="s">
        <v>132</v>
      </c>
      <c r="O16" s="54" t="s">
        <v>133</v>
      </c>
      <c r="P16" s="54" t="s">
        <v>134</v>
      </c>
    </row>
    <row r="17" spans="1:16" ht="20" x14ac:dyDescent="0.2">
      <c r="A17" s="43">
        <v>149</v>
      </c>
      <c r="B17" s="44">
        <f t="shared" si="0"/>
        <v>0</v>
      </c>
      <c r="C17" s="44">
        <f t="shared" si="1"/>
        <v>-1.1100000000000001</v>
      </c>
      <c r="G17" s="43">
        <v>117</v>
      </c>
      <c r="H17" s="44">
        <f t="shared" si="2"/>
        <v>28</v>
      </c>
      <c r="I17" s="44">
        <f t="shared" si="3"/>
        <v>0</v>
      </c>
      <c r="J17" s="44">
        <f t="shared" si="4"/>
        <v>15.45</v>
      </c>
      <c r="N17" s="54" t="s">
        <v>135</v>
      </c>
      <c r="O17" s="54" t="s">
        <v>136</v>
      </c>
      <c r="P17" s="54" t="s">
        <v>137</v>
      </c>
    </row>
    <row r="18" spans="1:16" ht="20" x14ac:dyDescent="0.2">
      <c r="A18" s="43">
        <v>150</v>
      </c>
      <c r="B18" s="44">
        <f t="shared" si="0"/>
        <v>0</v>
      </c>
      <c r="C18" s="44">
        <f t="shared" si="1"/>
        <v>-1.1100000000000001</v>
      </c>
      <c r="G18" s="43">
        <v>118</v>
      </c>
      <c r="H18" s="44">
        <f t="shared" si="2"/>
        <v>27</v>
      </c>
      <c r="I18" s="44">
        <f t="shared" si="3"/>
        <v>0</v>
      </c>
      <c r="J18" s="44">
        <f t="shared" si="4"/>
        <v>14.45</v>
      </c>
      <c r="N18" s="54" t="s">
        <v>138</v>
      </c>
      <c r="O18" s="54" t="s">
        <v>139</v>
      </c>
      <c r="P18" s="54" t="s">
        <v>140</v>
      </c>
    </row>
    <row r="19" spans="1:16" ht="20" x14ac:dyDescent="0.2">
      <c r="A19" s="43">
        <v>151</v>
      </c>
      <c r="B19" s="44">
        <f t="shared" si="0"/>
        <v>0</v>
      </c>
      <c r="C19" s="44">
        <f t="shared" si="1"/>
        <v>-1.1100000000000001</v>
      </c>
      <c r="G19" s="43">
        <v>119</v>
      </c>
      <c r="H19" s="44">
        <f t="shared" si="2"/>
        <v>26</v>
      </c>
      <c r="I19" s="44">
        <f t="shared" si="3"/>
        <v>0</v>
      </c>
      <c r="J19" s="44">
        <f t="shared" si="4"/>
        <v>13.45</v>
      </c>
      <c r="N19" s="54" t="s">
        <v>141</v>
      </c>
      <c r="O19" s="54" t="s">
        <v>142</v>
      </c>
      <c r="P19" s="54" t="s">
        <v>143</v>
      </c>
    </row>
    <row r="20" spans="1:16" ht="20" x14ac:dyDescent="0.2">
      <c r="A20" s="43">
        <v>152</v>
      </c>
      <c r="B20" s="44">
        <f t="shared" si="0"/>
        <v>0</v>
      </c>
      <c r="C20" s="44">
        <f t="shared" si="1"/>
        <v>-1.1100000000000001</v>
      </c>
      <c r="G20" s="43">
        <v>120</v>
      </c>
      <c r="H20" s="44">
        <f t="shared" si="2"/>
        <v>25</v>
      </c>
      <c r="I20" s="44">
        <f t="shared" si="3"/>
        <v>0</v>
      </c>
      <c r="J20" s="44">
        <f t="shared" si="4"/>
        <v>12.45</v>
      </c>
      <c r="N20" s="54" t="s">
        <v>144</v>
      </c>
      <c r="O20" s="54" t="s">
        <v>145</v>
      </c>
      <c r="P20" s="54" t="s">
        <v>146</v>
      </c>
    </row>
    <row r="21" spans="1:16" ht="20" x14ac:dyDescent="0.2">
      <c r="A21" s="43">
        <v>153</v>
      </c>
      <c r="B21" s="44">
        <f t="shared" si="0"/>
        <v>0</v>
      </c>
      <c r="C21" s="44">
        <f t="shared" si="1"/>
        <v>-1.1100000000000001</v>
      </c>
      <c r="G21" s="43">
        <v>121</v>
      </c>
      <c r="H21" s="44">
        <f t="shared" si="2"/>
        <v>24</v>
      </c>
      <c r="I21" s="44">
        <f t="shared" si="3"/>
        <v>0</v>
      </c>
      <c r="J21" s="44">
        <f t="shared" si="4"/>
        <v>11.45</v>
      </c>
      <c r="N21" s="54" t="s">
        <v>147</v>
      </c>
      <c r="O21" s="54" t="s">
        <v>148</v>
      </c>
      <c r="P21" s="54" t="s">
        <v>149</v>
      </c>
    </row>
    <row r="22" spans="1:16" ht="20" x14ac:dyDescent="0.2">
      <c r="A22" s="43">
        <v>154</v>
      </c>
      <c r="B22" s="44">
        <f t="shared" si="0"/>
        <v>0</v>
      </c>
      <c r="C22" s="44">
        <f t="shared" si="1"/>
        <v>-1.1100000000000001</v>
      </c>
      <c r="G22" s="43">
        <v>122</v>
      </c>
      <c r="H22" s="44">
        <f t="shared" si="2"/>
        <v>23</v>
      </c>
      <c r="I22" s="44">
        <f t="shared" si="3"/>
        <v>0</v>
      </c>
      <c r="J22" s="44">
        <f t="shared" si="4"/>
        <v>10.45</v>
      </c>
      <c r="N22" s="54" t="s">
        <v>150</v>
      </c>
      <c r="O22" s="54" t="s">
        <v>151</v>
      </c>
      <c r="P22" s="54" t="s">
        <v>152</v>
      </c>
    </row>
    <row r="23" spans="1:16" x14ac:dyDescent="0.2">
      <c r="A23" s="43">
        <v>155</v>
      </c>
      <c r="B23" s="44">
        <f t="shared" si="0"/>
        <v>0</v>
      </c>
      <c r="C23" s="44">
        <f t="shared" si="1"/>
        <v>-1.1100000000000001</v>
      </c>
      <c r="G23" s="43">
        <v>123</v>
      </c>
      <c r="H23" s="44">
        <f t="shared" si="2"/>
        <v>22</v>
      </c>
      <c r="I23" s="44">
        <f t="shared" si="3"/>
        <v>0</v>
      </c>
      <c r="J23" s="44">
        <f t="shared" si="4"/>
        <v>9.4499999999999993</v>
      </c>
    </row>
    <row r="24" spans="1:16" x14ac:dyDescent="0.2">
      <c r="A24" s="43">
        <v>156</v>
      </c>
      <c r="B24" s="44">
        <f t="shared" si="0"/>
        <v>0</v>
      </c>
      <c r="C24" s="44">
        <f t="shared" si="1"/>
        <v>-1.1100000000000001</v>
      </c>
      <c r="G24" s="43">
        <v>124</v>
      </c>
      <c r="H24" s="44">
        <f t="shared" si="2"/>
        <v>21</v>
      </c>
      <c r="I24" s="44">
        <f t="shared" si="3"/>
        <v>0</v>
      </c>
      <c r="J24" s="44">
        <f t="shared" si="4"/>
        <v>8.4499999999999993</v>
      </c>
    </row>
    <row r="25" spans="1:16" x14ac:dyDescent="0.2">
      <c r="A25" s="43">
        <v>157</v>
      </c>
      <c r="B25" s="44">
        <f t="shared" si="0"/>
        <v>0</v>
      </c>
      <c r="C25" s="44">
        <f t="shared" si="1"/>
        <v>-1.1100000000000001</v>
      </c>
      <c r="G25" s="43">
        <v>125</v>
      </c>
      <c r="H25" s="44">
        <f t="shared" si="2"/>
        <v>20</v>
      </c>
      <c r="I25" s="44">
        <f t="shared" si="3"/>
        <v>0</v>
      </c>
      <c r="J25" s="44">
        <f t="shared" si="4"/>
        <v>7.4499999999999993</v>
      </c>
    </row>
    <row r="26" spans="1:16" x14ac:dyDescent="0.2">
      <c r="A26" s="43">
        <v>158</v>
      </c>
      <c r="B26" s="44">
        <f t="shared" si="0"/>
        <v>0</v>
      </c>
      <c r="C26" s="44">
        <f t="shared" si="1"/>
        <v>-1.1100000000000001</v>
      </c>
      <c r="G26" s="43">
        <v>126</v>
      </c>
      <c r="H26" s="44">
        <f t="shared" si="2"/>
        <v>19</v>
      </c>
      <c r="I26" s="44">
        <f t="shared" si="3"/>
        <v>0</v>
      </c>
      <c r="J26" s="44">
        <f t="shared" si="4"/>
        <v>6.4499999999999993</v>
      </c>
    </row>
    <row r="27" spans="1:16" x14ac:dyDescent="0.2">
      <c r="A27" s="43">
        <v>159</v>
      </c>
      <c r="B27" s="44">
        <f t="shared" si="0"/>
        <v>0</v>
      </c>
      <c r="C27" s="44">
        <f t="shared" si="1"/>
        <v>-1.1100000000000001</v>
      </c>
      <c r="G27" s="43">
        <v>127</v>
      </c>
      <c r="H27" s="44">
        <f t="shared" si="2"/>
        <v>18</v>
      </c>
      <c r="I27" s="44">
        <f t="shared" si="3"/>
        <v>0</v>
      </c>
      <c r="J27" s="44">
        <f t="shared" si="4"/>
        <v>5.4499999999999993</v>
      </c>
    </row>
    <row r="28" spans="1:16" x14ac:dyDescent="0.2">
      <c r="A28" s="43">
        <v>160</v>
      </c>
      <c r="B28" s="44">
        <f t="shared" si="0"/>
        <v>0</v>
      </c>
      <c r="C28" s="44">
        <f t="shared" si="1"/>
        <v>-1.1100000000000001</v>
      </c>
      <c r="G28" s="43">
        <v>128</v>
      </c>
      <c r="H28" s="44">
        <f t="shared" si="2"/>
        <v>17</v>
      </c>
      <c r="I28" s="44">
        <f t="shared" si="3"/>
        <v>0</v>
      </c>
      <c r="J28" s="44">
        <f t="shared" si="4"/>
        <v>4.4499999999999993</v>
      </c>
    </row>
    <row r="29" spans="1:16" x14ac:dyDescent="0.2">
      <c r="A29" s="43">
        <v>161</v>
      </c>
      <c r="B29" s="44">
        <f t="shared" si="0"/>
        <v>0</v>
      </c>
      <c r="C29" s="56">
        <f t="shared" si="1"/>
        <v>-1.1100000000000001</v>
      </c>
      <c r="G29" s="43">
        <v>129</v>
      </c>
      <c r="H29" s="44">
        <f t="shared" si="2"/>
        <v>16</v>
      </c>
      <c r="I29" s="44">
        <f t="shared" si="3"/>
        <v>0</v>
      </c>
      <c r="J29" s="44">
        <f t="shared" si="4"/>
        <v>3.4499999999999993</v>
      </c>
    </row>
    <row r="30" spans="1:16" x14ac:dyDescent="0.2">
      <c r="A30" s="43">
        <v>162</v>
      </c>
      <c r="B30" s="44">
        <f t="shared" si="0"/>
        <v>0</v>
      </c>
      <c r="C30" s="44">
        <f t="shared" si="1"/>
        <v>-1.1100000000000001</v>
      </c>
      <c r="G30" s="43">
        <v>130</v>
      </c>
      <c r="H30" s="44">
        <f t="shared" si="2"/>
        <v>15</v>
      </c>
      <c r="I30" s="44">
        <f t="shared" si="3"/>
        <v>0</v>
      </c>
      <c r="J30" s="44">
        <f t="shared" si="4"/>
        <v>2.4499999999999993</v>
      </c>
    </row>
    <row r="31" spans="1:16" x14ac:dyDescent="0.2">
      <c r="A31" s="43">
        <v>163</v>
      </c>
      <c r="B31" s="44">
        <f t="shared" si="0"/>
        <v>0</v>
      </c>
      <c r="C31" s="44">
        <f t="shared" si="1"/>
        <v>-1.1100000000000001</v>
      </c>
      <c r="G31" s="43">
        <v>131</v>
      </c>
      <c r="H31" s="44">
        <f t="shared" si="2"/>
        <v>14</v>
      </c>
      <c r="I31" s="44">
        <f t="shared" si="3"/>
        <v>0</v>
      </c>
      <c r="J31" s="44">
        <f t="shared" si="4"/>
        <v>1.4499999999999993</v>
      </c>
    </row>
    <row r="32" spans="1:16" x14ac:dyDescent="0.2">
      <c r="A32" s="43">
        <v>164</v>
      </c>
      <c r="B32" s="44">
        <f t="shared" si="0"/>
        <v>0</v>
      </c>
      <c r="C32" s="44">
        <f t="shared" si="1"/>
        <v>-1.1100000000000001</v>
      </c>
      <c r="G32" s="43">
        <v>132</v>
      </c>
      <c r="H32" s="44">
        <f t="shared" si="2"/>
        <v>13</v>
      </c>
      <c r="I32" s="44">
        <f t="shared" si="3"/>
        <v>0</v>
      </c>
      <c r="J32" s="44">
        <f t="shared" si="4"/>
        <v>0.44999999999999929</v>
      </c>
    </row>
    <row r="33" spans="1:10" x14ac:dyDescent="0.2">
      <c r="A33" s="43">
        <v>165</v>
      </c>
      <c r="B33" s="44">
        <f t="shared" si="0"/>
        <v>0</v>
      </c>
      <c r="C33" s="44">
        <f t="shared" si="1"/>
        <v>-1.1100000000000001</v>
      </c>
      <c r="G33" s="43">
        <v>133</v>
      </c>
      <c r="H33" s="44">
        <f t="shared" si="2"/>
        <v>12</v>
      </c>
      <c r="I33" s="44">
        <f t="shared" si="3"/>
        <v>0</v>
      </c>
      <c r="J33" s="44">
        <f t="shared" si="4"/>
        <v>-0.55000000000000071</v>
      </c>
    </row>
    <row r="34" spans="1:10" x14ac:dyDescent="0.2">
      <c r="A34" s="43">
        <v>166</v>
      </c>
      <c r="B34" s="44">
        <f t="shared" si="0"/>
        <v>0</v>
      </c>
      <c r="C34" s="44">
        <f t="shared" si="1"/>
        <v>-1.1100000000000001</v>
      </c>
      <c r="G34" s="43">
        <v>134</v>
      </c>
      <c r="H34" s="44">
        <f t="shared" si="2"/>
        <v>11</v>
      </c>
      <c r="I34" s="44">
        <f t="shared" si="3"/>
        <v>0</v>
      </c>
      <c r="J34" s="44">
        <f t="shared" si="4"/>
        <v>-1.5500000000000007</v>
      </c>
    </row>
    <row r="35" spans="1:10" x14ac:dyDescent="0.2">
      <c r="A35" s="43">
        <v>167</v>
      </c>
      <c r="B35" s="44">
        <f t="shared" si="0"/>
        <v>0</v>
      </c>
      <c r="C35" s="44">
        <f t="shared" si="1"/>
        <v>-1.1100000000000001</v>
      </c>
      <c r="G35" s="43">
        <v>135</v>
      </c>
      <c r="H35" s="44">
        <f t="shared" si="2"/>
        <v>10</v>
      </c>
      <c r="I35" s="44">
        <f t="shared" si="3"/>
        <v>0</v>
      </c>
      <c r="J35" s="44">
        <f t="shared" si="4"/>
        <v>-2.5500000000000007</v>
      </c>
    </row>
    <row r="36" spans="1:10" x14ac:dyDescent="0.2">
      <c r="A36" s="43">
        <v>168</v>
      </c>
      <c r="B36" s="44">
        <f t="shared" si="0"/>
        <v>0</v>
      </c>
      <c r="C36" s="44">
        <f t="shared" si="1"/>
        <v>-1.1100000000000001</v>
      </c>
      <c r="G36" s="43">
        <v>136</v>
      </c>
      <c r="H36" s="44">
        <f t="shared" si="2"/>
        <v>9</v>
      </c>
      <c r="I36" s="44">
        <f t="shared" si="3"/>
        <v>0</v>
      </c>
      <c r="J36" s="44">
        <f t="shared" si="4"/>
        <v>-3.5500000000000007</v>
      </c>
    </row>
    <row r="37" spans="1:10" x14ac:dyDescent="0.2">
      <c r="A37" s="43">
        <v>169</v>
      </c>
      <c r="B37" s="44">
        <f t="shared" si="0"/>
        <v>0</v>
      </c>
      <c r="C37" s="44">
        <f t="shared" si="1"/>
        <v>-1.1100000000000001</v>
      </c>
      <c r="G37" s="43">
        <v>137</v>
      </c>
      <c r="H37" s="44">
        <f t="shared" si="2"/>
        <v>8</v>
      </c>
      <c r="I37" s="44">
        <f t="shared" si="3"/>
        <v>0</v>
      </c>
      <c r="J37" s="44">
        <f t="shared" si="4"/>
        <v>-4.5500000000000007</v>
      </c>
    </row>
    <row r="38" spans="1:10" x14ac:dyDescent="0.2">
      <c r="G38" s="43">
        <v>138</v>
      </c>
      <c r="H38" s="44">
        <f t="shared" si="2"/>
        <v>7</v>
      </c>
      <c r="I38" s="44">
        <f t="shared" si="3"/>
        <v>0</v>
      </c>
      <c r="J38" s="44">
        <f t="shared" si="4"/>
        <v>-5.5500000000000007</v>
      </c>
    </row>
    <row r="39" spans="1:10" x14ac:dyDescent="0.2">
      <c r="G39" s="43">
        <v>139</v>
      </c>
      <c r="H39" s="44">
        <f t="shared" si="2"/>
        <v>6</v>
      </c>
      <c r="I39" s="44">
        <f t="shared" si="3"/>
        <v>0</v>
      </c>
      <c r="J39" s="44">
        <f t="shared" si="4"/>
        <v>-6.5500000000000007</v>
      </c>
    </row>
    <row r="40" spans="1:10" x14ac:dyDescent="0.2">
      <c r="G40" s="43">
        <v>140</v>
      </c>
      <c r="H40" s="44">
        <f t="shared" si="2"/>
        <v>5</v>
      </c>
      <c r="I40" s="44">
        <f t="shared" si="3"/>
        <v>0</v>
      </c>
      <c r="J40" s="44">
        <f t="shared" si="4"/>
        <v>-7.5500000000000007</v>
      </c>
    </row>
    <row r="41" spans="1:10" x14ac:dyDescent="0.2">
      <c r="G41" s="43">
        <v>141</v>
      </c>
      <c r="H41" s="44">
        <f t="shared" si="2"/>
        <v>4</v>
      </c>
      <c r="I41" s="44">
        <f t="shared" si="3"/>
        <v>0</v>
      </c>
      <c r="J41" s="44">
        <f t="shared" si="4"/>
        <v>-8.5500000000000007</v>
      </c>
    </row>
    <row r="42" spans="1:10" x14ac:dyDescent="0.2">
      <c r="G42" s="43">
        <v>142</v>
      </c>
      <c r="H42" s="44">
        <f t="shared" si="2"/>
        <v>3</v>
      </c>
      <c r="I42" s="44">
        <f t="shared" si="3"/>
        <v>0</v>
      </c>
      <c r="J42" s="44">
        <f t="shared" si="4"/>
        <v>-9.5500000000000007</v>
      </c>
    </row>
    <row r="43" spans="1:10" x14ac:dyDescent="0.2">
      <c r="G43" s="43">
        <v>143</v>
      </c>
      <c r="H43" s="44">
        <f t="shared" si="2"/>
        <v>2</v>
      </c>
      <c r="I43" s="44">
        <f t="shared" si="3"/>
        <v>0</v>
      </c>
      <c r="J43" s="44">
        <f t="shared" si="4"/>
        <v>-10.55</v>
      </c>
    </row>
    <row r="44" spans="1:10" x14ac:dyDescent="0.2">
      <c r="G44" s="43">
        <v>144</v>
      </c>
      <c r="H44" s="44">
        <f t="shared" si="2"/>
        <v>1</v>
      </c>
      <c r="I44" s="44">
        <f t="shared" si="3"/>
        <v>0</v>
      </c>
      <c r="J44" s="44">
        <f t="shared" si="4"/>
        <v>-11.55</v>
      </c>
    </row>
    <row r="45" spans="1:10" x14ac:dyDescent="0.2">
      <c r="G45" s="43">
        <v>145</v>
      </c>
      <c r="H45" s="44">
        <f t="shared" si="2"/>
        <v>0</v>
      </c>
      <c r="I45" s="44">
        <f t="shared" si="3"/>
        <v>0</v>
      </c>
      <c r="J45" s="44">
        <f t="shared" si="4"/>
        <v>-12.55</v>
      </c>
    </row>
    <row r="46" spans="1:10" x14ac:dyDescent="0.2">
      <c r="G46" s="43">
        <v>146</v>
      </c>
      <c r="H46" s="44">
        <f t="shared" si="2"/>
        <v>0</v>
      </c>
      <c r="I46" s="44">
        <f t="shared" si="3"/>
        <v>1</v>
      </c>
      <c r="J46" s="44">
        <f t="shared" si="4"/>
        <v>-11.55</v>
      </c>
    </row>
    <row r="47" spans="1:10" x14ac:dyDescent="0.2">
      <c r="G47" s="43">
        <v>147</v>
      </c>
      <c r="H47" s="44">
        <f t="shared" si="2"/>
        <v>0</v>
      </c>
      <c r="I47" s="44">
        <f t="shared" si="3"/>
        <v>2</v>
      </c>
      <c r="J47" s="44">
        <f t="shared" si="4"/>
        <v>-10.55</v>
      </c>
    </row>
    <row r="48" spans="1:10" x14ac:dyDescent="0.2">
      <c r="G48" s="43">
        <v>148</v>
      </c>
      <c r="H48" s="44">
        <f t="shared" si="2"/>
        <v>0</v>
      </c>
      <c r="I48" s="44">
        <f t="shared" si="3"/>
        <v>3</v>
      </c>
      <c r="J48" s="44">
        <f t="shared" si="4"/>
        <v>-9.5500000000000007</v>
      </c>
    </row>
    <row r="49" spans="7:10" x14ac:dyDescent="0.2">
      <c r="G49" s="43">
        <v>149</v>
      </c>
      <c r="H49" s="44">
        <f t="shared" si="2"/>
        <v>0</v>
      </c>
      <c r="I49" s="44">
        <f t="shared" si="3"/>
        <v>4</v>
      </c>
      <c r="J49" s="44">
        <f t="shared" si="4"/>
        <v>-8.5500000000000007</v>
      </c>
    </row>
    <row r="50" spans="7:10" x14ac:dyDescent="0.2">
      <c r="G50" s="43">
        <v>150</v>
      </c>
      <c r="H50" s="44">
        <f t="shared" si="2"/>
        <v>0</v>
      </c>
      <c r="I50" s="44">
        <f t="shared" si="3"/>
        <v>5</v>
      </c>
      <c r="J50" s="44">
        <f t="shared" si="4"/>
        <v>-7.5500000000000007</v>
      </c>
    </row>
    <row r="51" spans="7:10" x14ac:dyDescent="0.2">
      <c r="G51" s="43">
        <v>151</v>
      </c>
      <c r="H51" s="44">
        <f t="shared" si="2"/>
        <v>0</v>
      </c>
      <c r="I51" s="44">
        <f t="shared" si="3"/>
        <v>6</v>
      </c>
      <c r="J51" s="44">
        <f t="shared" si="4"/>
        <v>-6.5500000000000007</v>
      </c>
    </row>
    <row r="52" spans="7:10" x14ac:dyDescent="0.2">
      <c r="G52" s="43">
        <v>152</v>
      </c>
      <c r="H52" s="44">
        <f t="shared" si="2"/>
        <v>0</v>
      </c>
      <c r="I52" s="44">
        <f t="shared" si="3"/>
        <v>7</v>
      </c>
      <c r="J52" s="44">
        <f t="shared" si="4"/>
        <v>-5.5500000000000007</v>
      </c>
    </row>
    <row r="53" spans="7:10" x14ac:dyDescent="0.2">
      <c r="G53" s="43">
        <v>153</v>
      </c>
      <c r="H53" s="44">
        <f t="shared" si="2"/>
        <v>0</v>
      </c>
      <c r="I53" s="44">
        <f t="shared" si="3"/>
        <v>8</v>
      </c>
      <c r="J53" s="44">
        <f t="shared" si="4"/>
        <v>-4.5500000000000007</v>
      </c>
    </row>
    <row r="54" spans="7:10" x14ac:dyDescent="0.2">
      <c r="G54" s="43">
        <v>154</v>
      </c>
      <c r="H54" s="44">
        <f t="shared" si="2"/>
        <v>0</v>
      </c>
      <c r="I54" s="44">
        <f t="shared" si="3"/>
        <v>9</v>
      </c>
      <c r="J54" s="44">
        <f t="shared" si="4"/>
        <v>-3.5500000000000007</v>
      </c>
    </row>
    <row r="55" spans="7:10" x14ac:dyDescent="0.2">
      <c r="G55" s="43">
        <v>155</v>
      </c>
      <c r="H55" s="44">
        <f t="shared" si="2"/>
        <v>0</v>
      </c>
      <c r="I55" s="44">
        <f t="shared" si="3"/>
        <v>10</v>
      </c>
      <c r="J55" s="44">
        <f t="shared" si="4"/>
        <v>-2.5500000000000007</v>
      </c>
    </row>
    <row r="56" spans="7:10" x14ac:dyDescent="0.2">
      <c r="G56" s="43">
        <v>156</v>
      </c>
      <c r="H56" s="44">
        <f t="shared" si="2"/>
        <v>0</v>
      </c>
      <c r="I56" s="44">
        <f t="shared" si="3"/>
        <v>11</v>
      </c>
      <c r="J56" s="44">
        <f t="shared" si="4"/>
        <v>-1.5500000000000007</v>
      </c>
    </row>
    <row r="57" spans="7:10" x14ac:dyDescent="0.2">
      <c r="G57" s="43">
        <v>157</v>
      </c>
      <c r="H57" s="44">
        <f t="shared" si="2"/>
        <v>0</v>
      </c>
      <c r="I57" s="44">
        <f t="shared" si="3"/>
        <v>12</v>
      </c>
      <c r="J57" s="44">
        <f t="shared" si="4"/>
        <v>-0.55000000000000071</v>
      </c>
    </row>
    <row r="58" spans="7:10" x14ac:dyDescent="0.2">
      <c r="G58" s="43">
        <v>158</v>
      </c>
      <c r="H58" s="44">
        <f t="shared" si="2"/>
        <v>0</v>
      </c>
      <c r="I58" s="44">
        <f t="shared" si="3"/>
        <v>13</v>
      </c>
      <c r="J58" s="44">
        <f t="shared" si="4"/>
        <v>0.44999999999999929</v>
      </c>
    </row>
    <row r="59" spans="7:10" x14ac:dyDescent="0.2">
      <c r="G59" s="43">
        <v>159</v>
      </c>
      <c r="H59" s="44">
        <f t="shared" si="2"/>
        <v>0</v>
      </c>
      <c r="I59" s="44">
        <f t="shared" si="3"/>
        <v>14</v>
      </c>
      <c r="J59" s="44">
        <f t="shared" si="4"/>
        <v>1.4499999999999993</v>
      </c>
    </row>
    <row r="60" spans="7:10" x14ac:dyDescent="0.2">
      <c r="G60" s="43">
        <v>160</v>
      </c>
      <c r="H60" s="44">
        <f t="shared" si="2"/>
        <v>0</v>
      </c>
      <c r="I60" s="44">
        <f t="shared" si="3"/>
        <v>15</v>
      </c>
      <c r="J60" s="44">
        <f t="shared" si="4"/>
        <v>2.4499999999999993</v>
      </c>
    </row>
    <row r="61" spans="7:10" x14ac:dyDescent="0.2">
      <c r="G61" s="43">
        <v>161</v>
      </c>
      <c r="H61" s="44">
        <f t="shared" si="2"/>
        <v>0</v>
      </c>
      <c r="I61" s="44">
        <f t="shared" si="3"/>
        <v>16</v>
      </c>
      <c r="J61" s="44">
        <f t="shared" si="4"/>
        <v>3.4499999999999993</v>
      </c>
    </row>
    <row r="62" spans="7:10" x14ac:dyDescent="0.2">
      <c r="G62" s="43">
        <v>162</v>
      </c>
      <c r="H62" s="44">
        <f t="shared" si="2"/>
        <v>0</v>
      </c>
      <c r="I62" s="44">
        <f t="shared" si="3"/>
        <v>17</v>
      </c>
      <c r="J62" s="44">
        <f t="shared" si="4"/>
        <v>4.4499999999999993</v>
      </c>
    </row>
    <row r="63" spans="7:10" x14ac:dyDescent="0.2">
      <c r="G63" s="43">
        <v>163</v>
      </c>
      <c r="H63" s="44">
        <f t="shared" si="2"/>
        <v>0</v>
      </c>
      <c r="I63" s="44">
        <f t="shared" si="3"/>
        <v>18</v>
      </c>
      <c r="J63" s="44">
        <f t="shared" si="4"/>
        <v>5.4499999999999993</v>
      </c>
    </row>
    <row r="64" spans="7:10" x14ac:dyDescent="0.2">
      <c r="G64" s="43">
        <v>164</v>
      </c>
      <c r="H64" s="44">
        <f t="shared" si="2"/>
        <v>0</v>
      </c>
      <c r="I64" s="44">
        <f t="shared" si="3"/>
        <v>19</v>
      </c>
      <c r="J64" s="44">
        <f t="shared" si="4"/>
        <v>6.4499999999999993</v>
      </c>
    </row>
    <row r="65" spans="7:10" x14ac:dyDescent="0.2">
      <c r="G65" s="43">
        <v>165</v>
      </c>
      <c r="H65" s="44">
        <f t="shared" si="2"/>
        <v>0</v>
      </c>
      <c r="I65" s="44">
        <f t="shared" si="3"/>
        <v>20</v>
      </c>
      <c r="J65" s="44">
        <f t="shared" si="4"/>
        <v>7.4499999999999993</v>
      </c>
    </row>
    <row r="66" spans="7:10" x14ac:dyDescent="0.2">
      <c r="G66" s="43">
        <v>166</v>
      </c>
      <c r="H66" s="44">
        <f t="shared" si="2"/>
        <v>0</v>
      </c>
      <c r="I66" s="44">
        <f t="shared" si="3"/>
        <v>21</v>
      </c>
      <c r="J66" s="44">
        <f t="shared" si="4"/>
        <v>8.4499999999999993</v>
      </c>
    </row>
    <row r="67" spans="7:10" x14ac:dyDescent="0.2">
      <c r="G67" s="43">
        <v>167</v>
      </c>
      <c r="H67" s="44">
        <f t="shared" si="2"/>
        <v>0</v>
      </c>
      <c r="I67" s="44">
        <f t="shared" si="3"/>
        <v>22</v>
      </c>
      <c r="J67" s="44">
        <f t="shared" si="4"/>
        <v>9.4499999999999993</v>
      </c>
    </row>
    <row r="68" spans="7:10" x14ac:dyDescent="0.2">
      <c r="G68" s="43">
        <v>168</v>
      </c>
      <c r="H68" s="44">
        <f t="shared" si="2"/>
        <v>0</v>
      </c>
      <c r="I68" s="44">
        <f t="shared" si="3"/>
        <v>23</v>
      </c>
      <c r="J68" s="44">
        <f t="shared" si="4"/>
        <v>10.45</v>
      </c>
    </row>
    <row r="69" spans="7:10" x14ac:dyDescent="0.2">
      <c r="G69" s="43">
        <v>169</v>
      </c>
      <c r="H69" s="44">
        <f t="shared" si="2"/>
        <v>0</v>
      </c>
      <c r="I69" s="44">
        <f t="shared" si="3"/>
        <v>24</v>
      </c>
      <c r="J69" s="44">
        <f t="shared" si="4"/>
        <v>11.45</v>
      </c>
    </row>
    <row r="70" spans="7:10" x14ac:dyDescent="0.2">
      <c r="G70" s="43">
        <v>170</v>
      </c>
      <c r="H70" s="44">
        <f t="shared" si="2"/>
        <v>0</v>
      </c>
      <c r="I70" s="44">
        <f t="shared" si="3"/>
        <v>25</v>
      </c>
      <c r="J70" s="44">
        <f t="shared" si="4"/>
        <v>12.45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CFB8-F94F-4847-BEFE-877BF9A1FDFF}">
  <dimension ref="A1:B11"/>
  <sheetViews>
    <sheetView workbookViewId="0">
      <selection activeCell="B12" sqref="B12"/>
    </sheetView>
  </sheetViews>
  <sheetFormatPr baseColWidth="10" defaultRowHeight="16" x14ac:dyDescent="0.2"/>
  <cols>
    <col min="2" max="2" width="35.33203125" bestFit="1" customWidth="1"/>
  </cols>
  <sheetData>
    <row r="1" spans="1:2" x14ac:dyDescent="0.2">
      <c r="A1" s="32" t="s">
        <v>77</v>
      </c>
      <c r="B1" s="33" t="s">
        <v>88</v>
      </c>
    </row>
    <row r="2" spans="1:2" x14ac:dyDescent="0.2">
      <c r="A2" s="34" t="s">
        <v>78</v>
      </c>
      <c r="B2" s="35" t="s">
        <v>89</v>
      </c>
    </row>
    <row r="3" spans="1:2" x14ac:dyDescent="0.2">
      <c r="A3" s="34" t="s">
        <v>79</v>
      </c>
      <c r="B3" s="35">
        <f>'FF5 Factor Model'!C12</f>
        <v>2.0127545782526601</v>
      </c>
    </row>
    <row r="4" spans="1:2" x14ac:dyDescent="0.2">
      <c r="A4" s="34" t="s">
        <v>80</v>
      </c>
      <c r="B4" s="35">
        <f>'FF5 Factor Model'!D12</f>
        <v>1.7655741914496984E-2</v>
      </c>
    </row>
    <row r="5" spans="1:2" x14ac:dyDescent="0.2">
      <c r="A5" s="34" t="s">
        <v>81</v>
      </c>
      <c r="B5" s="35">
        <f>'FF3 Factor Model'!C12</f>
        <v>2.070897030025697</v>
      </c>
    </row>
    <row r="6" spans="1:2" x14ac:dyDescent="0.2">
      <c r="A6" s="34" t="s">
        <v>82</v>
      </c>
      <c r="B6" s="35">
        <f>'FF5 Factor Model'!B7</f>
        <v>120</v>
      </c>
    </row>
    <row r="7" spans="1:2" x14ac:dyDescent="0.2">
      <c r="A7" s="34" t="s">
        <v>83</v>
      </c>
      <c r="B7" s="35">
        <f>'FF5 Factor Model'!B11</f>
        <v>5</v>
      </c>
    </row>
    <row r="8" spans="1:2" x14ac:dyDescent="0.2">
      <c r="A8" s="34" t="s">
        <v>84</v>
      </c>
      <c r="B8" s="35">
        <v>2</v>
      </c>
    </row>
    <row r="9" spans="1:2" x14ac:dyDescent="0.2">
      <c r="A9" s="34" t="s">
        <v>85</v>
      </c>
      <c r="B9" s="35">
        <f>(B5-B3)/(B8*B4)</f>
        <v>1.6465592908700315</v>
      </c>
    </row>
    <row r="10" spans="1:2" x14ac:dyDescent="0.2">
      <c r="A10" s="34" t="s">
        <v>86</v>
      </c>
      <c r="B10" s="35">
        <f>1-_xlfn.F.DIST(B9, B8, B6-B7, TRUE)</f>
        <v>0.19722212970599107</v>
      </c>
    </row>
    <row r="11" spans="1:2" ht="17" thickBot="1" x14ac:dyDescent="0.25">
      <c r="A11" s="36" t="s">
        <v>87</v>
      </c>
      <c r="B11" s="37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1AB4-5E41-C84B-9FCD-632A1091CA6B}">
  <dimension ref="A1:I19"/>
  <sheetViews>
    <sheetView zoomScale="140" zoomScaleNormal="140" workbookViewId="0">
      <selection activeCell="D8" sqref="D8"/>
    </sheetView>
  </sheetViews>
  <sheetFormatPr baseColWidth="10" defaultColWidth="8.83203125" defaultRowHeight="15" x14ac:dyDescent="0.2"/>
  <cols>
    <col min="1" max="1" width="16.5" style="1" customWidth="1"/>
    <col min="2" max="16384" width="8.83203125" style="1"/>
  </cols>
  <sheetData>
    <row r="1" spans="1:9" x14ac:dyDescent="0.2">
      <c r="A1" s="7" t="s">
        <v>25</v>
      </c>
    </row>
    <row r="2" spans="1:9" ht="16" thickBot="1" x14ac:dyDescent="0.25"/>
    <row r="3" spans="1:9" x14ac:dyDescent="0.2">
      <c r="A3" s="6" t="s">
        <v>24</v>
      </c>
      <c r="B3" s="6"/>
    </row>
    <row r="4" spans="1:9" x14ac:dyDescent="0.2">
      <c r="A4" s="1" t="s">
        <v>23</v>
      </c>
      <c r="B4" s="1">
        <v>0.23011860491522201</v>
      </c>
    </row>
    <row r="5" spans="1:9" x14ac:dyDescent="0.2">
      <c r="A5" s="1" t="s">
        <v>22</v>
      </c>
      <c r="B5" s="1">
        <v>5.2954572328128044E-2</v>
      </c>
    </row>
    <row r="6" spans="1:9" x14ac:dyDescent="0.2">
      <c r="A6" s="1" t="s">
        <v>10</v>
      </c>
      <c r="B6" s="1">
        <v>0.13361347463362294</v>
      </c>
    </row>
    <row r="7" spans="1:9" ht="16" thickBot="1" x14ac:dyDescent="0.25">
      <c r="A7" s="2" t="s">
        <v>21</v>
      </c>
      <c r="B7" s="2">
        <v>120</v>
      </c>
    </row>
    <row r="9" spans="1:9" ht="16" thickBot="1" x14ac:dyDescent="0.25">
      <c r="A9" s="1" t="s">
        <v>20</v>
      </c>
    </row>
    <row r="10" spans="1:9" x14ac:dyDescent="0.2">
      <c r="A10" s="3"/>
      <c r="B10" s="3" t="s">
        <v>19</v>
      </c>
      <c r="C10" s="3" t="s">
        <v>18</v>
      </c>
      <c r="D10" s="3" t="s">
        <v>17</v>
      </c>
      <c r="E10" s="3" t="s">
        <v>16</v>
      </c>
      <c r="F10" s="3" t="s">
        <v>15</v>
      </c>
    </row>
    <row r="11" spans="1:9" x14ac:dyDescent="0.2">
      <c r="A11" s="1" t="s">
        <v>14</v>
      </c>
      <c r="B11" s="5">
        <v>3</v>
      </c>
      <c r="C11" s="5">
        <v>0.11579536034526638</v>
      </c>
      <c r="D11" s="5">
        <v>3.8598453448422131E-2</v>
      </c>
      <c r="E11" s="5">
        <v>2.1620681932029275</v>
      </c>
      <c r="F11" s="5">
        <v>9.626084706380493E-2</v>
      </c>
    </row>
    <row r="12" spans="1:9" x14ac:dyDescent="0.2">
      <c r="A12" s="1" t="s">
        <v>13</v>
      </c>
      <c r="B12" s="5">
        <v>116</v>
      </c>
      <c r="C12" s="5">
        <v>2.070897030025697</v>
      </c>
      <c r="D12" s="5">
        <v>1.7852560603669802E-2</v>
      </c>
    </row>
    <row r="13" spans="1:9" ht="16" thickBot="1" x14ac:dyDescent="0.25">
      <c r="A13" s="2" t="s">
        <v>12</v>
      </c>
      <c r="B13" s="4">
        <v>120</v>
      </c>
      <c r="C13" s="4"/>
      <c r="D13" s="2"/>
      <c r="E13" s="2"/>
      <c r="F13" s="2"/>
    </row>
    <row r="14" spans="1:9" ht="16" thickBot="1" x14ac:dyDescent="0.25"/>
    <row r="15" spans="1:9" x14ac:dyDescent="0.2">
      <c r="A15" s="3"/>
      <c r="B15" s="3" t="s">
        <v>11</v>
      </c>
      <c r="C15" s="3" t="s">
        <v>10</v>
      </c>
      <c r="D15" s="3" t="s">
        <v>9</v>
      </c>
      <c r="E15" s="3" t="s">
        <v>8</v>
      </c>
      <c r="F15" s="3" t="s">
        <v>7</v>
      </c>
      <c r="G15" s="3" t="s">
        <v>6</v>
      </c>
      <c r="H15" s="3" t="s">
        <v>5</v>
      </c>
      <c r="I15" s="3" t="s">
        <v>4</v>
      </c>
    </row>
    <row r="16" spans="1:9" x14ac:dyDescent="0.2">
      <c r="A16" s="1" t="s">
        <v>3</v>
      </c>
      <c r="B16" s="1">
        <v>4.0649726702457693E-2</v>
      </c>
      <c r="C16" s="1">
        <v>1.2933679366424282E-2</v>
      </c>
      <c r="D16" s="1">
        <v>3.1429360161798989</v>
      </c>
      <c r="E16" s="1">
        <v>2.1237118970734831E-3</v>
      </c>
      <c r="F16" s="1">
        <v>1.5032945041849152E-2</v>
      </c>
      <c r="G16" s="1">
        <v>6.6266508363066232E-2</v>
      </c>
      <c r="H16" s="1">
        <v>1.5032945041849152E-2</v>
      </c>
      <c r="I16" s="1">
        <v>6.6266508363066232E-2</v>
      </c>
    </row>
    <row r="17" spans="1:9" x14ac:dyDescent="0.2">
      <c r="A17" s="1" t="s">
        <v>2</v>
      </c>
      <c r="B17" s="1">
        <v>-0.16199007956828679</v>
      </c>
      <c r="C17" s="1">
        <v>0.35226521884683321</v>
      </c>
      <c r="D17" s="1">
        <v>-0.4598526079258507</v>
      </c>
      <c r="E17" s="1">
        <v>0.64648275292721125</v>
      </c>
      <c r="F17" s="1">
        <v>-0.85969573177826653</v>
      </c>
      <c r="G17" s="1">
        <v>0.53571557264169289</v>
      </c>
      <c r="H17" s="1">
        <v>-0.85969573177826653</v>
      </c>
      <c r="I17" s="1">
        <v>0.53571557264169289</v>
      </c>
    </row>
    <row r="18" spans="1:9" x14ac:dyDescent="0.2">
      <c r="A18" s="1" t="s">
        <v>1</v>
      </c>
      <c r="B18" s="1">
        <v>0.67173228507264249</v>
      </c>
      <c r="C18" s="1">
        <v>0.55691371840623372</v>
      </c>
      <c r="D18" s="1">
        <v>1.206169399085723</v>
      </c>
      <c r="E18" s="1">
        <v>0.23020649087574399</v>
      </c>
      <c r="F18" s="1">
        <v>-0.43130550672892365</v>
      </c>
      <c r="G18" s="1">
        <v>1.7747700768742085</v>
      </c>
      <c r="H18" s="1">
        <v>-0.43130550672892365</v>
      </c>
      <c r="I18" s="1">
        <v>1.7747700768742085</v>
      </c>
    </row>
    <row r="19" spans="1:9" ht="16" thickBot="1" x14ac:dyDescent="0.25">
      <c r="A19" s="2" t="s">
        <v>0</v>
      </c>
      <c r="B19" s="2">
        <v>1.1027063518915459</v>
      </c>
      <c r="C19" s="2">
        <v>0.57227405175504764</v>
      </c>
      <c r="D19" s="2">
        <v>1.9268851147623602</v>
      </c>
      <c r="E19" s="2">
        <v>5.6439924688720763E-2</v>
      </c>
      <c r="F19" s="2">
        <v>-3.0754515547120498E-2</v>
      </c>
      <c r="G19" s="2">
        <v>2.2361672193302122</v>
      </c>
      <c r="H19" s="2">
        <v>-3.0754515547120498E-2</v>
      </c>
      <c r="I19" s="2">
        <v>2.2361672193302122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A471-DEBB-5E4E-9EA0-2507E7D63128}">
  <dimension ref="A1:I21"/>
  <sheetViews>
    <sheetView tabSelected="1" topLeftCell="A3" zoomScale="140" zoomScaleNormal="140" workbookViewId="0">
      <selection activeCell="K15" sqref="K15"/>
    </sheetView>
  </sheetViews>
  <sheetFormatPr baseColWidth="10" defaultColWidth="8.83203125" defaultRowHeight="15" x14ac:dyDescent="0.2"/>
  <cols>
    <col min="1" max="16384" width="8.83203125" style="1"/>
  </cols>
  <sheetData>
    <row r="1" spans="1:9" x14ac:dyDescent="0.2">
      <c r="A1" s="7" t="s">
        <v>28</v>
      </c>
    </row>
    <row r="2" spans="1:9" ht="16" thickBot="1" x14ac:dyDescent="0.25"/>
    <row r="3" spans="1:9" x14ac:dyDescent="0.2">
      <c r="A3" s="6" t="s">
        <v>24</v>
      </c>
      <c r="B3" s="6"/>
    </row>
    <row r="4" spans="1:9" x14ac:dyDescent="0.2">
      <c r="A4" s="1" t="s">
        <v>23</v>
      </c>
      <c r="B4" s="1">
        <v>0.28203509605592064</v>
      </c>
    </row>
    <row r="5" spans="1:9" x14ac:dyDescent="0.2">
      <c r="A5" s="1" t="s">
        <v>22</v>
      </c>
      <c r="B5" s="1">
        <v>7.9543795407272369E-2</v>
      </c>
    </row>
    <row r="6" spans="1:9" x14ac:dyDescent="0.2">
      <c r="A6" s="1" t="s">
        <v>10</v>
      </c>
      <c r="B6" s="1">
        <v>0.13287491077888627</v>
      </c>
    </row>
    <row r="7" spans="1:9" ht="16" thickBot="1" x14ac:dyDescent="0.25">
      <c r="A7" s="2" t="s">
        <v>21</v>
      </c>
      <c r="B7" s="2">
        <v>120</v>
      </c>
    </row>
    <row r="9" spans="1:9" ht="16" thickBot="1" x14ac:dyDescent="0.25">
      <c r="A9" s="1" t="s">
        <v>20</v>
      </c>
    </row>
    <row r="10" spans="1:9" x14ac:dyDescent="0.2">
      <c r="A10" s="3"/>
      <c r="B10" s="3" t="s">
        <v>19</v>
      </c>
      <c r="C10" s="3" t="s">
        <v>18</v>
      </c>
      <c r="D10" s="3" t="s">
        <v>17</v>
      </c>
      <c r="E10" s="3" t="s">
        <v>16</v>
      </c>
      <c r="F10" s="3" t="s">
        <v>15</v>
      </c>
    </row>
    <row r="11" spans="1:9" x14ac:dyDescent="0.2">
      <c r="A11" s="1" t="s">
        <v>14</v>
      </c>
      <c r="B11" s="5">
        <v>5</v>
      </c>
      <c r="C11" s="5">
        <v>0.17393781211830728</v>
      </c>
      <c r="D11" s="5">
        <v>3.4787562423661454E-2</v>
      </c>
      <c r="E11" s="5">
        <v>1.9703257213506091</v>
      </c>
      <c r="F11" s="5">
        <v>8.8317107618285498E-2</v>
      </c>
    </row>
    <row r="12" spans="1:9" x14ac:dyDescent="0.2">
      <c r="A12" s="1" t="s">
        <v>13</v>
      </c>
      <c r="B12" s="5">
        <v>114</v>
      </c>
      <c r="C12" s="5">
        <v>2.0127545782526601</v>
      </c>
      <c r="D12" s="5">
        <v>1.7655741914496984E-2</v>
      </c>
    </row>
    <row r="13" spans="1:9" ht="16" thickBot="1" x14ac:dyDescent="0.25">
      <c r="A13" s="2" t="s">
        <v>12</v>
      </c>
      <c r="B13" s="4">
        <v>119</v>
      </c>
      <c r="C13" s="4"/>
      <c r="D13" s="2"/>
      <c r="E13" s="2"/>
      <c r="F13" s="2"/>
    </row>
    <row r="14" spans="1:9" ht="16" thickBot="1" x14ac:dyDescent="0.25"/>
    <row r="15" spans="1:9" x14ac:dyDescent="0.2">
      <c r="A15" s="3"/>
      <c r="B15" s="3" t="s">
        <v>11</v>
      </c>
      <c r="C15" s="3" t="s">
        <v>10</v>
      </c>
      <c r="D15" s="3" t="s">
        <v>9</v>
      </c>
      <c r="E15" s="3" t="s">
        <v>8</v>
      </c>
      <c r="F15" s="3" t="s">
        <v>7</v>
      </c>
      <c r="G15" s="3" t="s">
        <v>6</v>
      </c>
      <c r="H15" s="3" t="s">
        <v>5</v>
      </c>
      <c r="I15" s="3" t="s">
        <v>4</v>
      </c>
    </row>
    <row r="16" spans="1:9" x14ac:dyDescent="0.2">
      <c r="A16" s="1" t="s">
        <v>3</v>
      </c>
      <c r="B16" s="1">
        <v>3.9826455869612983E-2</v>
      </c>
      <c r="C16" s="1">
        <v>1.3114692300580282E-2</v>
      </c>
      <c r="D16" s="1">
        <v>3.0367815696179767</v>
      </c>
      <c r="E16" s="1">
        <v>2.9640832549651494E-3</v>
      </c>
      <c r="F16" s="1">
        <v>1.3846351431840136E-2</v>
      </c>
      <c r="G16" s="1">
        <v>6.5806560307385825E-2</v>
      </c>
      <c r="H16" s="1">
        <v>1.3846351431840136E-2</v>
      </c>
      <c r="I16" s="1">
        <v>6.5806560307385825E-2</v>
      </c>
    </row>
    <row r="17" spans="1:9" x14ac:dyDescent="0.2">
      <c r="A17" s="1" t="s">
        <v>2</v>
      </c>
      <c r="B17" s="1">
        <v>-0.11994908266505643</v>
      </c>
      <c r="C17" s="1">
        <v>0.35772692483766477</v>
      </c>
      <c r="D17" s="1">
        <v>-0.33530907051374143</v>
      </c>
      <c r="E17" s="1">
        <v>0.73800819845046139</v>
      </c>
      <c r="F17" s="1">
        <v>-0.8286033655470596</v>
      </c>
      <c r="G17" s="1">
        <v>0.58870520021694672</v>
      </c>
      <c r="H17" s="1">
        <v>-0.8286033655470596</v>
      </c>
      <c r="I17" s="1">
        <v>0.58870520021694672</v>
      </c>
    </row>
    <row r="18" spans="1:9" x14ac:dyDescent="0.2">
      <c r="A18" s="1" t="s">
        <v>1</v>
      </c>
      <c r="B18" s="1">
        <v>0.47683104276405353</v>
      </c>
      <c r="C18" s="1">
        <v>0.58798409544331665</v>
      </c>
      <c r="D18" s="1">
        <v>0.81095908283801765</v>
      </c>
      <c r="E18" s="1">
        <v>0.41907901278702075</v>
      </c>
      <c r="F18" s="1">
        <v>-0.68796092164145939</v>
      </c>
      <c r="G18" s="1">
        <v>1.6416230071695663</v>
      </c>
      <c r="H18" s="1">
        <v>-0.68796092164145939</v>
      </c>
      <c r="I18" s="1">
        <v>1.6416230071695663</v>
      </c>
    </row>
    <row r="19" spans="1:9" x14ac:dyDescent="0.2">
      <c r="A19" s="1" t="s">
        <v>0</v>
      </c>
      <c r="B19" s="1">
        <v>0.33619840656280264</v>
      </c>
      <c r="C19" s="1">
        <v>0.72634418948458757</v>
      </c>
      <c r="D19" s="1">
        <v>0.46286376545721164</v>
      </c>
      <c r="E19" s="1">
        <v>0.64434436271535422</v>
      </c>
      <c r="F19" s="1">
        <v>-1.1026838384856839</v>
      </c>
      <c r="G19" s="1">
        <v>1.7750806516112889</v>
      </c>
      <c r="H19" s="1">
        <v>-1.1026838384856839</v>
      </c>
      <c r="I19" s="1">
        <v>1.7750806516112889</v>
      </c>
    </row>
    <row r="20" spans="1:9" x14ac:dyDescent="0.2">
      <c r="A20" s="1" t="s">
        <v>27</v>
      </c>
      <c r="B20" s="1">
        <v>-0.87122245503012563</v>
      </c>
      <c r="C20" s="1">
        <v>0.91677007523950849</v>
      </c>
      <c r="D20" s="1">
        <v>-0.95031729171844592</v>
      </c>
      <c r="E20" s="1">
        <v>0.34396143650342736</v>
      </c>
      <c r="F20" s="1">
        <v>-2.6873369130943412</v>
      </c>
      <c r="G20" s="1">
        <v>0.94489200303409004</v>
      </c>
      <c r="H20" s="1">
        <v>-2.6873369130943412</v>
      </c>
      <c r="I20" s="1">
        <v>0.94489200303409004</v>
      </c>
    </row>
    <row r="21" spans="1:9" ht="16" thickBot="1" x14ac:dyDescent="0.25">
      <c r="A21" s="2" t="s">
        <v>26</v>
      </c>
      <c r="B21" s="2">
        <v>1.8041574559889264</v>
      </c>
      <c r="C21" s="2">
        <v>1.1132601644565119</v>
      </c>
      <c r="D21" s="2">
        <v>1.6206072161664988</v>
      </c>
      <c r="E21" s="2">
        <v>0.1078647926845123</v>
      </c>
      <c r="F21" s="2">
        <v>-0.40120235544276261</v>
      </c>
      <c r="G21" s="2">
        <v>4.0095172674206152</v>
      </c>
      <c r="H21" s="2">
        <v>-0.40120235544276261</v>
      </c>
      <c r="I21" s="2">
        <v>4.0095172674206152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Call Option (Black Scholes)</vt:lpstr>
      <vt:lpstr>Call Option EP (Price Tree)</vt:lpstr>
      <vt:lpstr>Put Option EP (Price Tree)</vt:lpstr>
      <vt:lpstr>Call &amp; Put Option Value-Profit</vt:lpstr>
      <vt:lpstr>F-test</vt:lpstr>
      <vt:lpstr>FF3 Factor Model</vt:lpstr>
      <vt:lpstr>FF5 Factor Model</vt:lpstr>
      <vt:lpstr>d1_</vt:lpstr>
      <vt:lpstr>d2_</vt:lpstr>
      <vt:lpstr>K</vt:lpstr>
      <vt:lpstr>rf</vt:lpstr>
      <vt:lpstr>sigma</vt:lpstr>
      <vt:lpstr>So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2020-11-30T03:19:53Z</dcterms:created>
  <dcterms:modified xsi:type="dcterms:W3CDTF">2022-06-13T16:57:51Z</dcterms:modified>
</cp:coreProperties>
</file>