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00. Bob's network drive\2. Courses\FORECASTING WEB SITE\"/>
    </mc:Choice>
  </mc:AlternateContent>
  <bookViews>
    <workbookView xWindow="0" yWindow="0" windowWidth="28800" windowHeight="14175"/>
  </bookViews>
  <sheets>
    <sheet name="X1 X2 data" sheetId="1" r:id="rId1"/>
    <sheet name="Mean model for X1" sheetId="3" r:id="rId2"/>
    <sheet name="Linear trend model for X1" sheetId="13" r:id="rId3"/>
    <sheet name="Linear trend model for X2" sheetId="22" r:id="rId4"/>
    <sheet name="Model Summaries" sheetId="11" r:id="rId5"/>
  </sheets>
  <definedNames>
    <definedName name="___autoF" localSheetId="2" hidden="1">1</definedName>
    <definedName name="___autoF" localSheetId="3" hidden="1">1</definedName>
    <definedName name="___autoF" localSheetId="1" hidden="1">1</definedName>
    <definedName name="___rsumm___X1_" localSheetId="4" hidden="1">'Model Summaries'!$A$3</definedName>
    <definedName name="___rsumm___X2_" localSheetId="4" hidden="1">'Model Summaries'!$A$16</definedName>
    <definedName name="__nSelect_" hidden="1">0</definedName>
    <definedName name="ActiveRegModel" hidden="1">"Linear trend  model"</definedName>
    <definedName name="FirstForecastRow" localSheetId="2" hidden="1">52</definedName>
    <definedName name="FirstForecastRow" localSheetId="3" hidden="1">52</definedName>
    <definedName name="FirstForecastRow" localSheetId="1" hidden="1">51</definedName>
    <definedName name="nRegMod" hidden="1">3</definedName>
    <definedName name="OKtoForecast" hidden="1">1</definedName>
    <definedName name="_xlnm.Print_Area" localSheetId="2">'Linear trend model for X1'!$A$1:$J$220</definedName>
    <definedName name="_xlnm.Print_Area" localSheetId="3">'Linear trend model for X2'!$A$1:$J$220</definedName>
    <definedName name="_xlnm.Print_Area" localSheetId="1">'Mean model for X1'!$A$1:$J$219</definedName>
    <definedName name="T">'X1 X2 data'!$A$2:$A$32</definedName>
    <definedName name="X1_">'X1 X2 data'!$B$2:$B$32</definedName>
    <definedName name="X2_">'X1 X2 data'!$C$2:$C$32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22" l="1"/>
  <c r="E200" i="22" s="1"/>
  <c r="D192" i="22"/>
  <c r="E192" i="22" s="1"/>
  <c r="D218" i="22"/>
  <c r="E218" i="22" s="1"/>
  <c r="D209" i="22"/>
  <c r="E209" i="22" s="1"/>
  <c r="D215" i="22"/>
  <c r="E215" i="22" s="1"/>
  <c r="D214" i="22"/>
  <c r="E214" i="22" s="1"/>
  <c r="D211" i="22"/>
  <c r="E211" i="22" s="1"/>
  <c r="D216" i="22"/>
  <c r="E216" i="22"/>
  <c r="D206" i="22"/>
  <c r="E206" i="22" s="1"/>
  <c r="D205" i="22"/>
  <c r="E205" i="22" s="1"/>
  <c r="D208" i="22"/>
  <c r="E208" i="22" s="1"/>
  <c r="D195" i="22"/>
  <c r="E195" i="22" s="1"/>
  <c r="D191" i="22"/>
  <c r="E191" i="22" s="1"/>
  <c r="D197" i="22"/>
  <c r="E197" i="22"/>
  <c r="D203" i="22"/>
  <c r="E203" i="22"/>
  <c r="D204" i="22"/>
  <c r="E204" i="22" s="1"/>
  <c r="D199" i="22"/>
  <c r="E199" i="22" s="1"/>
  <c r="D201" i="22"/>
  <c r="E201" i="22"/>
  <c r="D194" i="22"/>
  <c r="E194" i="22" s="1"/>
  <c r="D202" i="22"/>
  <c r="E202" i="22" s="1"/>
  <c r="D212" i="22"/>
  <c r="E212" i="22" s="1"/>
  <c r="D210" i="22"/>
  <c r="E210" i="22" s="1"/>
  <c r="D207" i="22"/>
  <c r="E207" i="22"/>
  <c r="D217" i="22"/>
  <c r="E217" i="22"/>
  <c r="D219" i="22"/>
  <c r="E219" i="22" s="1"/>
  <c r="D198" i="22"/>
  <c r="E198" i="22" s="1"/>
  <c r="D196" i="22"/>
  <c r="E196" i="22" s="1"/>
  <c r="D213" i="22"/>
  <c r="E213" i="22" s="1"/>
  <c r="D193" i="22"/>
  <c r="E193" i="22" s="1"/>
  <c r="D190" i="22"/>
  <c r="E190" i="22" s="1"/>
  <c r="AA3" i="22"/>
  <c r="AA2" i="22"/>
  <c r="H51" i="22"/>
  <c r="G51" i="22"/>
  <c r="E51" i="22"/>
  <c r="D51" i="22"/>
  <c r="E30" i="22"/>
  <c r="E29" i="22"/>
  <c r="E28" i="22"/>
  <c r="E27" i="22"/>
  <c r="E26" i="22"/>
  <c r="G25" i="22"/>
  <c r="F25" i="22"/>
  <c r="B10" i="22"/>
  <c r="D20" i="22"/>
  <c r="D10" i="22" s="1"/>
  <c r="C30" i="22" s="1"/>
  <c r="C19" i="22"/>
  <c r="D19" i="22" s="1"/>
  <c r="E19" i="22" s="1"/>
  <c r="F19" i="22" s="1"/>
  <c r="B21" i="22"/>
  <c r="I15" i="22"/>
  <c r="D15" i="22"/>
  <c r="E15" i="22"/>
  <c r="F15" i="22"/>
  <c r="G15" i="22"/>
  <c r="D14" i="22"/>
  <c r="E14" i="22" s="1"/>
  <c r="G14" i="22"/>
  <c r="F14" i="22"/>
  <c r="G13" i="22"/>
  <c r="F13" i="22"/>
  <c r="H10" i="22"/>
  <c r="H9" i="22"/>
  <c r="D201" i="13"/>
  <c r="E201" i="13" s="1"/>
  <c r="D190" i="13"/>
  <c r="E190" i="13" s="1"/>
  <c r="D207" i="13"/>
  <c r="E207" i="13"/>
  <c r="D212" i="13"/>
  <c r="E212" i="13" s="1"/>
  <c r="D219" i="13"/>
  <c r="E219" i="13"/>
  <c r="D202" i="13"/>
  <c r="E202" i="13" s="1"/>
  <c r="D217" i="13"/>
  <c r="E217" i="13"/>
  <c r="D197" i="13"/>
  <c r="E197" i="13" s="1"/>
  <c r="D213" i="13"/>
  <c r="E213" i="13" s="1"/>
  <c r="D210" i="13"/>
  <c r="E210" i="13" s="1"/>
  <c r="D191" i="13"/>
  <c r="E191" i="13" s="1"/>
  <c r="D195" i="13"/>
  <c r="E195" i="13"/>
  <c r="D218" i="13"/>
  <c r="E218" i="13" s="1"/>
  <c r="D209" i="13"/>
  <c r="E209" i="13" s="1"/>
  <c r="D205" i="13"/>
  <c r="E205" i="13"/>
  <c r="D200" i="13"/>
  <c r="E200" i="13" s="1"/>
  <c r="D196" i="13"/>
  <c r="E196" i="13" s="1"/>
  <c r="D215" i="13"/>
  <c r="E215" i="13" s="1"/>
  <c r="D193" i="13"/>
  <c r="E193" i="13"/>
  <c r="D206" i="13"/>
  <c r="E206" i="13" s="1"/>
  <c r="D214" i="13"/>
  <c r="E214" i="13" s="1"/>
  <c r="D208" i="13"/>
  <c r="E208" i="13" s="1"/>
  <c r="D198" i="13"/>
  <c r="E198" i="13" s="1"/>
  <c r="D199" i="13"/>
  <c r="E199" i="13" s="1"/>
  <c r="D216" i="13"/>
  <c r="E216" i="13" s="1"/>
  <c r="D203" i="13"/>
  <c r="E203" i="13" s="1"/>
  <c r="D192" i="13"/>
  <c r="E192" i="13"/>
  <c r="D204" i="13"/>
  <c r="E204" i="13" s="1"/>
  <c r="D194" i="13"/>
  <c r="E194" i="13" s="1"/>
  <c r="D211" i="13"/>
  <c r="E211" i="13" s="1"/>
  <c r="AA3" i="13"/>
  <c r="AA2" i="13"/>
  <c r="H51" i="13"/>
  <c r="G51" i="13"/>
  <c r="E51" i="13"/>
  <c r="D51" i="13"/>
  <c r="E30" i="13"/>
  <c r="E29" i="13"/>
  <c r="E28" i="13"/>
  <c r="E27" i="13"/>
  <c r="E26" i="13"/>
  <c r="G25" i="13"/>
  <c r="F25" i="13"/>
  <c r="B10" i="13"/>
  <c r="D20" i="13"/>
  <c r="D10" i="13" s="1"/>
  <c r="C19" i="13"/>
  <c r="D19" i="13" s="1"/>
  <c r="E19" i="13" s="1"/>
  <c r="F19" i="13" s="1"/>
  <c r="B21" i="13"/>
  <c r="I15" i="13"/>
  <c r="D15" i="13"/>
  <c r="E15" i="13"/>
  <c r="F15" i="13"/>
  <c r="G15" i="13"/>
  <c r="D14" i="13"/>
  <c r="E14" i="13" s="1"/>
  <c r="G14" i="13"/>
  <c r="F14" i="13"/>
  <c r="G13" i="13"/>
  <c r="F13" i="13"/>
  <c r="H10" i="13"/>
  <c r="H9" i="13"/>
  <c r="D210" i="3"/>
  <c r="E210" i="3" s="1"/>
  <c r="D194" i="3"/>
  <c r="E194" i="3" s="1"/>
  <c r="D199" i="3"/>
  <c r="E199" i="3" s="1"/>
  <c r="D217" i="3"/>
  <c r="E217" i="3" s="1"/>
  <c r="D209" i="3"/>
  <c r="E209" i="3"/>
  <c r="D197" i="3"/>
  <c r="E197" i="3" s="1"/>
  <c r="D214" i="3"/>
  <c r="E214" i="3"/>
  <c r="D195" i="3"/>
  <c r="E195" i="3" s="1"/>
  <c r="D215" i="3"/>
  <c r="E215" i="3" s="1"/>
  <c r="D204" i="3"/>
  <c r="E204" i="3" s="1"/>
  <c r="D190" i="3"/>
  <c r="E190" i="3" s="1"/>
  <c r="D196" i="3"/>
  <c r="E196" i="3"/>
  <c r="D216" i="3"/>
  <c r="E216" i="3" s="1"/>
  <c r="D207" i="3"/>
  <c r="E207" i="3" s="1"/>
  <c r="D205" i="3"/>
  <c r="E205" i="3" s="1"/>
  <c r="D201" i="3"/>
  <c r="E201" i="3" s="1"/>
  <c r="D200" i="3"/>
  <c r="E200" i="3" s="1"/>
  <c r="D208" i="3"/>
  <c r="E208" i="3" s="1"/>
  <c r="D191" i="3"/>
  <c r="E191" i="3" s="1"/>
  <c r="D202" i="3"/>
  <c r="E202" i="3" s="1"/>
  <c r="D206" i="3"/>
  <c r="E206" i="3" s="1"/>
  <c r="D212" i="3"/>
  <c r="E212" i="3" s="1"/>
  <c r="D192" i="3"/>
  <c r="E192" i="3" s="1"/>
  <c r="D193" i="3"/>
  <c r="E193" i="3" s="1"/>
  <c r="D213" i="3"/>
  <c r="E213" i="3" s="1"/>
  <c r="D211" i="3"/>
  <c r="E211" i="3"/>
  <c r="D189" i="3"/>
  <c r="E189" i="3" s="1"/>
  <c r="D218" i="3"/>
  <c r="E218" i="3" s="1"/>
  <c r="D203" i="3"/>
  <c r="E203" i="3" s="1"/>
  <c r="D198" i="3"/>
  <c r="E198" i="3" s="1"/>
  <c r="AA3" i="3"/>
  <c r="AA2" i="3"/>
  <c r="H50" i="3"/>
  <c r="G50" i="3"/>
  <c r="E50" i="3"/>
  <c r="D50" i="3"/>
  <c r="E29" i="3"/>
  <c r="E28" i="3"/>
  <c r="E27" i="3"/>
  <c r="E26" i="3"/>
  <c r="E25" i="3"/>
  <c r="G24" i="3"/>
  <c r="F24" i="3"/>
  <c r="B10" i="3"/>
  <c r="D19" i="3"/>
  <c r="D10" i="3" s="1"/>
  <c r="C18" i="3"/>
  <c r="B20" i="3"/>
  <c r="D14" i="3"/>
  <c r="E14" i="3" s="1"/>
  <c r="G14" i="3"/>
  <c r="F14" i="3"/>
  <c r="G13" i="3"/>
  <c r="F13" i="3"/>
  <c r="H10" i="3"/>
  <c r="H9" i="3"/>
  <c r="C27" i="22" l="1"/>
  <c r="D27" i="22" s="1"/>
  <c r="F52" i="22"/>
  <c r="C52" i="22" s="1"/>
  <c r="C28" i="22"/>
  <c r="D28" i="22" s="1"/>
  <c r="D30" i="22"/>
  <c r="G30" i="22" s="1"/>
  <c r="C10" i="22"/>
  <c r="C26" i="22"/>
  <c r="D26" i="22" s="1"/>
  <c r="C29" i="22"/>
  <c r="D29" i="22" s="1"/>
  <c r="C28" i="13"/>
  <c r="C30" i="13"/>
  <c r="D30" i="13" s="1"/>
  <c r="F52" i="13"/>
  <c r="C52" i="13" s="1"/>
  <c r="CG52" i="13" s="1"/>
  <c r="C26" i="13"/>
  <c r="D26" i="13" s="1"/>
  <c r="C10" i="13"/>
  <c r="D28" i="13"/>
  <c r="F28" i="13" s="1"/>
  <c r="C27" i="13"/>
  <c r="D27" i="13" s="1"/>
  <c r="C29" i="13"/>
  <c r="D29" i="13" s="1"/>
  <c r="D52" i="13"/>
  <c r="E52" i="13"/>
  <c r="D27" i="3"/>
  <c r="G27" i="3" s="1"/>
  <c r="C10" i="3"/>
  <c r="D29" i="3"/>
  <c r="G29" i="3" s="1"/>
  <c r="D26" i="3"/>
  <c r="G26" i="3" s="1"/>
  <c r="D28" i="3"/>
  <c r="G28" i="3" s="1"/>
  <c r="D25" i="3"/>
  <c r="G25" i="3" s="1"/>
  <c r="E51" i="3"/>
  <c r="F28" i="3"/>
  <c r="G51" i="3"/>
  <c r="D51" i="3"/>
  <c r="H51" i="3"/>
  <c r="CG51" i="3"/>
  <c r="H52" i="22" l="1"/>
  <c r="G29" i="22"/>
  <c r="F29" i="22"/>
  <c r="G26" i="22"/>
  <c r="F26" i="22"/>
  <c r="G28" i="22"/>
  <c r="F28" i="22"/>
  <c r="CG52" i="22"/>
  <c r="E52" i="22"/>
  <c r="D52" i="22"/>
  <c r="G27" i="22"/>
  <c r="F27" i="22"/>
  <c r="F30" i="22"/>
  <c r="G52" i="22"/>
  <c r="G29" i="13"/>
  <c r="F29" i="13"/>
  <c r="F27" i="13"/>
  <c r="G27" i="13"/>
  <c r="G26" i="13"/>
  <c r="F26" i="13"/>
  <c r="F30" i="13"/>
  <c r="G30" i="13"/>
  <c r="G28" i="13"/>
  <c r="H52" i="13"/>
  <c r="G52" i="13"/>
  <c r="F25" i="3"/>
  <c r="F26" i="3"/>
  <c r="F27" i="3"/>
  <c r="F29" i="3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  <comment ref="B18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</commentList>
</comments>
</file>

<file path=xl/sharedStrings.xml><?xml version="1.0" encoding="utf-8"?>
<sst xmlns="http://schemas.openxmlformats.org/spreadsheetml/2006/main" count="243" uniqueCount="101">
  <si>
    <t>T</t>
  </si>
  <si>
    <t>X1</t>
  </si>
  <si>
    <t>X2</t>
  </si>
  <si>
    <t>Model:</t>
  </si>
  <si>
    <t>Mean model</t>
  </si>
  <si>
    <t>September 17, 2015  4:04 PM    Mean model</t>
  </si>
  <si>
    <t>Dependent Variable:</t>
  </si>
  <si>
    <t>X1_</t>
  </si>
  <si>
    <t>Independent Variables:</t>
  </si>
  <si>
    <t>N/A</t>
  </si>
  <si>
    <t>Equation:</t>
  </si>
  <si>
    <t>Predicted X1_ = 38.500</t>
  </si>
  <si>
    <t>Regression Statistics:    Mean model for X1_    (0 variables, n=30)</t>
  </si>
  <si>
    <t>R-Squared</t>
  </si>
  <si>
    <t>Adj.R-Sqr.</t>
  </si>
  <si>
    <t>Std.Err.Reg.</t>
  </si>
  <si>
    <t>Std. Dev.</t>
  </si>
  <si>
    <t># Cases</t>
  </si>
  <si>
    <t># Missing</t>
  </si>
  <si>
    <t>Conf. level</t>
  </si>
  <si>
    <t>Coefficient Estimates:    Mean model for X1_    (0 variables, n=30)</t>
  </si>
  <si>
    <t>Variable</t>
  </si>
  <si>
    <t>Coefficient</t>
  </si>
  <si>
    <t>Std.Err.</t>
  </si>
  <si>
    <t>t-Stat.</t>
  </si>
  <si>
    <t>P-value</t>
  </si>
  <si>
    <t>Std. Coeff.</t>
  </si>
  <si>
    <t>Constant</t>
  </si>
  <si>
    <t>Analysis of Variance:    Mean model for X1_    (0 variables, n=30)</t>
  </si>
  <si>
    <t>Source</t>
  </si>
  <si>
    <t>Regression</t>
  </si>
  <si>
    <t>Residual</t>
  </si>
  <si>
    <t>Total</t>
  </si>
  <si>
    <t>df</t>
  </si>
  <si>
    <t>Sum Sqrs.</t>
  </si>
  <si>
    <t>Mean Sqr.</t>
  </si>
  <si>
    <t>F</t>
  </si>
  <si>
    <t>Line Fit Plot</t>
  </si>
  <si>
    <t>StdErrMean</t>
  </si>
  <si>
    <t>StdErrFcst</t>
  </si>
  <si>
    <t>Predicted</t>
  </si>
  <si>
    <t>Residual Distribution Statistics:    Mean model for X1_    (0 variables, n=30)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</si>
  <si>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</si>
  <si>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</si>
  <si>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</si>
  <si>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</si>
  <si>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</si>
  <si>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</si>
  <si>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Forecasts:  Mean model for X1_    (0 variables, n=30)</t>
  </si>
  <si>
    <t>Obs#</t>
  </si>
  <si>
    <t>Forecast</t>
  </si>
  <si>
    <t>StErrFcst</t>
  </si>
  <si>
    <t>StErrMean</t>
  </si>
  <si>
    <t>Actual and predicted -vs- Observation #</t>
  </si>
  <si>
    <t>Residual -vs- Observation #</t>
  </si>
  <si>
    <t>Residual -vs- Predicted</t>
  </si>
  <si>
    <t>Histogram of Residuals</t>
  </si>
  <si>
    <t>Normal Quantile Plot</t>
  </si>
  <si>
    <t>Residuals sorted from largest to smallest by absolute value: Mean model for X1_    (0 variables, n=30)</t>
  </si>
  <si>
    <t>Actual</t>
  </si>
  <si>
    <t>Std.Res.</t>
  </si>
  <si>
    <t>Summary of Regression Model Results</t>
  </si>
  <si>
    <t>Dependent Variable: X1_</t>
  </si>
  <si>
    <t>Model</t>
  </si>
  <si>
    <t>Run Time</t>
  </si>
  <si>
    <t>Regression Statistics</t>
  </si>
  <si>
    <t>R-squared</t>
  </si>
  <si>
    <t>Adjusted R-squared</t>
  </si>
  <si>
    <t>Standard Error of Regression</t>
  </si>
  <si>
    <t>Coefficient estimates and P-values</t>
  </si>
  <si>
    <t>X2_</t>
  </si>
  <si>
    <t>38.5  (0.000)</t>
  </si>
  <si>
    <t>Linear trend model</t>
  </si>
  <si>
    <t>September 17, 2015  4:05 PM    Linear trend model</t>
  </si>
  <si>
    <t>Predicted X1_ = 30.503 + 0.516*T</t>
  </si>
  <si>
    <t>Regression Statistics:    Linear trend model for X1_    (1 variable, n=30)</t>
  </si>
  <si>
    <t>Coefficient Estimates:    Linear trend model for X1_    (1 variable, n=30)</t>
  </si>
  <si>
    <t>Analysis of Variance:    Linear trend model for X1_    (1 variable, n=30)</t>
  </si>
  <si>
    <t>Residual Distribution Statistics:    Linear trend model for X1_    (1 variable, n=30)</t>
  </si>
  <si>
    <t>Forecasts:  Linear trend model for X1_    (1 variable, n=30)</t>
  </si>
  <si>
    <t xml:space="preserve">           T</t>
  </si>
  <si>
    <t>Residuals sorted from largest to smallest by absolute value: Linear trend model for X1_    (1 variable, n=30)</t>
  </si>
  <si>
    <t>30.503  (0.000)</t>
  </si>
  <si>
    <t>0.516  (0.039)</t>
  </si>
  <si>
    <t>Linear trend  model</t>
  </si>
  <si>
    <t>September 17, 2015  4:06 PM    Linear trend  model</t>
  </si>
  <si>
    <t>Predicted X2_ = 14.959 + 0.861*T</t>
  </si>
  <si>
    <t>Regression Statistics:    Linear trend  model for X2_    (1 variable, n=30)</t>
  </si>
  <si>
    <t>Coefficient Estimates:    Linear trend  model for X2_    (1 variable, n=30)</t>
  </si>
  <si>
    <t>Analysis of Variance:    Linear trend  model for X2_    (1 variable, n=30)</t>
  </si>
  <si>
    <t>Residual Distribution Statistics:    Linear trend  model for X2_    (1 variable, n=30)</t>
  </si>
  <si>
    <t>Forecasts:  Linear trend  model for X2_    (1 variable, n=30)</t>
  </si>
  <si>
    <t>Residuals sorted from largest to smallest by absolute value: Linear trend  model for X2_    (1 variable, n=30)</t>
  </si>
  <si>
    <t>Dependent Variable: X2_</t>
  </si>
  <si>
    <t>14.959  (0.000)</t>
  </si>
  <si>
    <t>0.861  (0.000)</t>
  </si>
  <si>
    <t>http://people.duke.edu/~rnau/411trend.htm</t>
  </si>
  <si>
    <t>http://people.duke.edu/~rnau/411mean.htm</t>
  </si>
  <si>
    <t>Data and models to accompany the discussions on these web pages</t>
  </si>
  <si>
    <t>The models were produced with RegressIt:</t>
  </si>
  <si>
    <t>http://regressit.com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</si>
</sst>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0.0%"/>
    <numFmt numFmtId="167" formatCode="#,###"/>
    <numFmt numFmtId="168" formatCode="[$-409]m/d/yy\ h:mm\ AM/PM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theme="0"/>
      <name val="Arial"/>
      <family val="2"/>
    </font>
    <font>
      <sz val="8"/>
      <color rgb="FFF8F8F8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4" fillId="0" borderId="0" xfId="0" applyNumberFormat="1" applyFont="1" applyAlignment="1"/>
    <xf numFmtId="164" fontId="1" fillId="0" borderId="1" xfId="0" applyNumberFormat="1" applyFont="1" applyBorder="1" applyAlignment="1"/>
    <xf numFmtId="164" fontId="5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6" fontId="1" fillId="0" borderId="0" xfId="0" applyNumberFormat="1" applyFont="1" applyAlignment="1"/>
    <xf numFmtId="164" fontId="5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0" fontId="1" fillId="0" borderId="0" xfId="0" applyNumberFormat="1" applyFont="1" applyAlignment="1"/>
    <xf numFmtId="164" fontId="7" fillId="0" borderId="0" xfId="0" applyNumberFormat="1" applyFont="1" applyAlignment="1"/>
    <xf numFmtId="164" fontId="8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Mean model for X1_    (0 variables, n=30)
Predicted X1_ = 38.500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5888"/>
        <c:axId val="734111384"/>
      </c:scatterChart>
      <c:scatterChart>
        <c:scatterStyle val="lineMarker"/>
        <c:varyColors val="0"/>
        <c:ser>
          <c:idx val="1"/>
          <c:order val="1"/>
          <c:tx>
            <c:strRef>
              <c:f>'Mean model for X1'!$G$24</c:f>
              <c:strCache>
                <c:ptCount val="1"/>
                <c:pt idx="0">
                  <c:v>Upper 50%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X1'!$G$25:$G$29</c:f>
              <c:numCache>
                <c:formatCode>#,##0.000</c:formatCode>
                <c:ptCount val="5"/>
                <c:pt idx="0">
                  <c:v>46.84347987801273</c:v>
                </c:pt>
                <c:pt idx="1">
                  <c:v>46.84347987801273</c:v>
                </c:pt>
                <c:pt idx="2">
                  <c:v>46.84347987801273</c:v>
                </c:pt>
                <c:pt idx="3">
                  <c:v>46.84347987801273</c:v>
                </c:pt>
                <c:pt idx="4">
                  <c:v>46.84347987801273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'Mean model for X1'!$E$24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X1'!$E$25:$E$29</c:f>
              <c:numCache>
                <c:formatCode>#,##0.000</c:formatCode>
                <c:ptCount val="5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 model for X1'!$F$24</c:f>
              <c:strCache>
                <c:ptCount val="1"/>
                <c:pt idx="0">
                  <c:v>Lower 50%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X1'!$F$25:$F$29</c:f>
              <c:numCache>
                <c:formatCode>#,##0.000</c:formatCode>
                <c:ptCount val="5"/>
                <c:pt idx="0">
                  <c:v>30.15652012198727</c:v>
                </c:pt>
                <c:pt idx="1">
                  <c:v>30.15652012198727</c:v>
                </c:pt>
                <c:pt idx="2">
                  <c:v>30.15652012198727</c:v>
                </c:pt>
                <c:pt idx="3">
                  <c:v>30.15652012198727</c:v>
                </c:pt>
                <c:pt idx="4">
                  <c:v>30.15652012198727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93360"/>
        <c:axId val="436076056"/>
      </c:scatterChart>
      <c:valAx>
        <c:axId val="5335358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111384"/>
        <c:crossesAt val="10"/>
        <c:crossBetween val="midCat"/>
      </c:valAx>
      <c:valAx>
        <c:axId val="73411138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3535888"/>
        <c:crossesAt val="0"/>
        <c:crossBetween val="midCat"/>
      </c:valAx>
      <c:valAx>
        <c:axId val="436076056"/>
        <c:scaling>
          <c:orientation val="minMax"/>
          <c:min val="10"/>
        </c:scaling>
        <c:delete val="1"/>
        <c:axPos val="r"/>
        <c:numFmt formatCode="#,##0.000" sourceLinked="1"/>
        <c:majorTickMark val="out"/>
        <c:minorTickMark val="none"/>
        <c:tickLblPos val="nextTo"/>
        <c:crossAx val="438593360"/>
        <c:crosses val="max"/>
        <c:crossBetween val="midCat"/>
      </c:valAx>
      <c:valAx>
        <c:axId val="4385933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436076056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 trend model for X1'!$AA$3</c:f>
          <c:strCache>
            <c:ptCount val="1"/>
            <c:pt idx="0">
              <c:v>Actual and predicted -vs- Observation # with 95.0% confidence limits
Linear trend model for X1_    (1 variable, n=30)</c:v>
            </c:pt>
          </c:strCache>
        </c:strRef>
      </c:tx>
      <c:layout/>
      <c:overlay val="0"/>
      <c:txPr>
        <a:bodyPr/>
        <a:lstStyle/>
        <a:p>
          <a:pPr>
            <a:defRPr sz="10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31.01935483870966</c:v>
              </c:pt>
              <c:pt idx="1">
                <c:v>31.535261401557268</c:v>
              </c:pt>
              <c:pt idx="2">
                <c:v>32.051167964404875</c:v>
              </c:pt>
              <c:pt idx="3">
                <c:v>32.567074527252487</c:v>
              </c:pt>
              <c:pt idx="4">
                <c:v>33.082981090100091</c:v>
              </c:pt>
              <c:pt idx="5">
                <c:v>33.598887652947703</c:v>
              </c:pt>
              <c:pt idx="6">
                <c:v>34.114794215795307</c:v>
              </c:pt>
              <c:pt idx="7">
                <c:v>34.630700778642918</c:v>
              </c:pt>
              <c:pt idx="8">
                <c:v>35.146607341490522</c:v>
              </c:pt>
              <c:pt idx="9">
                <c:v>35.662513904338134</c:v>
              </c:pt>
              <c:pt idx="10">
                <c:v>36.178420467185745</c:v>
              </c:pt>
              <c:pt idx="11">
                <c:v>36.69432703003335</c:v>
              </c:pt>
              <c:pt idx="12">
                <c:v>37.210233592880961</c:v>
              </c:pt>
              <c:pt idx="13">
                <c:v>37.726140155728565</c:v>
              </c:pt>
              <c:pt idx="14">
                <c:v>38.242046718576177</c:v>
              </c:pt>
              <c:pt idx="15">
                <c:v>38.757953281423781</c:v>
              </c:pt>
              <c:pt idx="16">
                <c:v>39.273859844271392</c:v>
              </c:pt>
              <c:pt idx="17">
                <c:v>39.789766407118996</c:v>
              </c:pt>
              <c:pt idx="18">
                <c:v>40.305672969966608</c:v>
              </c:pt>
              <c:pt idx="19">
                <c:v>40.821579532814212</c:v>
              </c:pt>
              <c:pt idx="20">
                <c:v>41.337486095661824</c:v>
              </c:pt>
              <c:pt idx="21">
                <c:v>41.853392658509435</c:v>
              </c:pt>
              <c:pt idx="22">
                <c:v>42.369299221357039</c:v>
              </c:pt>
              <c:pt idx="23">
                <c:v>42.885205784204643</c:v>
              </c:pt>
              <c:pt idx="24">
                <c:v>43.401112347052255</c:v>
              </c:pt>
              <c:pt idx="25">
                <c:v>43.917018909899866</c:v>
              </c:pt>
              <c:pt idx="26">
                <c:v>44.432925472747471</c:v>
              </c:pt>
              <c:pt idx="27">
                <c:v>44.948832035595082</c:v>
              </c:pt>
              <c:pt idx="28">
                <c:v>45.464738598442686</c:v>
              </c:pt>
              <c:pt idx="29">
                <c:v>45.980645161290298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'Linear trend model for X1'!$CG$52</c:f>
                <c:numCache>
                  <c:formatCode>General</c:formatCode>
                  <c:ptCount val="1"/>
                  <c:pt idx="0">
                    <c:v>24.765023161366575</c:v>
                  </c:pt>
                </c:numCache>
              </c:numRef>
            </c:plus>
            <c:minus>
              <c:numRef>
                <c:f>'Linear trend model for X1'!$CG$52</c:f>
                <c:numCache>
                  <c:formatCode>General</c:formatCode>
                  <c:ptCount val="1"/>
                  <c:pt idx="0">
                    <c:v>24.765023161366575</c:v>
                  </c:pt>
                </c:numCache>
              </c:numRef>
            </c:minus>
          </c:errBars>
          <c:xVal>
            <c:numRef>
              <c:f>'Linear trend model for X1'!$A$52:$A$52</c:f>
              <c:numCache>
                <c:formatCode>0</c:formatCode>
                <c:ptCount val="1"/>
                <c:pt idx="0">
                  <c:v>31</c:v>
                </c:pt>
              </c:numCache>
            </c:numRef>
          </c:xVal>
          <c:yVal>
            <c:numRef>
              <c:f>'Linear trend model for X1'!$B$52:$B$52</c:f>
              <c:numCache>
                <c:formatCode>#,##0.000</c:formatCode>
                <c:ptCount val="1"/>
                <c:pt idx="0">
                  <c:v>46.496551724137902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41688"/>
        <c:axId val="740743256"/>
      </c:scatterChart>
      <c:valAx>
        <c:axId val="74074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40743256"/>
        <c:crossesAt val="10"/>
        <c:crossBetween val="midCat"/>
      </c:valAx>
      <c:valAx>
        <c:axId val="74074325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0741688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Observation #
</a:t>
            </a:r>
            <a:r>
              <a:rPr lang="en-US" sz="1000"/>
              <a:t>Linear trend model for X1_    (1 variable,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Lit>
              <c:formatCode>General</c:formatCode>
              <c:ptCount val="30"/>
              <c:pt idx="0">
                <c:v>-6.0193548387096598</c:v>
              </c:pt>
              <c:pt idx="1">
                <c:v>10.464738598442732</c:v>
              </c:pt>
              <c:pt idx="2">
                <c:v>21.948832035595125</c:v>
              </c:pt>
              <c:pt idx="3">
                <c:v>-6.5670745272524869</c:v>
              </c:pt>
              <c:pt idx="4">
                <c:v>5.9170189098999089</c:v>
              </c:pt>
              <c:pt idx="5">
                <c:v>0.40111234705229748</c:v>
              </c:pt>
              <c:pt idx="6">
                <c:v>-10.114794215795307</c:v>
              </c:pt>
              <c:pt idx="7">
                <c:v>2.3692992213570818</c:v>
              </c:pt>
              <c:pt idx="8">
                <c:v>-12.146607341490522</c:v>
              </c:pt>
              <c:pt idx="9">
                <c:v>4.3374860956618662</c:v>
              </c:pt>
              <c:pt idx="10">
                <c:v>-6.1784204671857452</c:v>
              </c:pt>
              <c:pt idx="11">
                <c:v>-21.69432703003335</c:v>
              </c:pt>
              <c:pt idx="12">
                <c:v>-14.210233592880961</c:v>
              </c:pt>
              <c:pt idx="13">
                <c:v>2.2738598442714348</c:v>
              </c:pt>
              <c:pt idx="14">
                <c:v>-6.2420467185761765</c:v>
              </c:pt>
              <c:pt idx="15">
                <c:v>7.2420467185762192</c:v>
              </c:pt>
              <c:pt idx="16">
                <c:v>10.726140155728608</c:v>
              </c:pt>
              <c:pt idx="17">
                <c:v>-13.789766407118996</c:v>
              </c:pt>
              <c:pt idx="18">
                <c:v>3.6943270300333921</c:v>
              </c:pt>
              <c:pt idx="19">
                <c:v>17.178420467185788</c:v>
              </c:pt>
              <c:pt idx="20">
                <c:v>6.6625139043381765</c:v>
              </c:pt>
              <c:pt idx="21">
                <c:v>4.1466073414905651</c:v>
              </c:pt>
              <c:pt idx="22">
                <c:v>-6.3692992213570392</c:v>
              </c:pt>
              <c:pt idx="23">
                <c:v>12.114794215795357</c:v>
              </c:pt>
              <c:pt idx="24">
                <c:v>11.598887652947745</c:v>
              </c:pt>
              <c:pt idx="25">
                <c:v>-2.9170189098998662</c:v>
              </c:pt>
              <c:pt idx="26">
                <c:v>-9.4329254727474705</c:v>
              </c:pt>
              <c:pt idx="27">
                <c:v>19.051167964404918</c:v>
              </c:pt>
              <c:pt idx="28">
                <c:v>-7.4647385984426862</c:v>
              </c:pt>
              <c:pt idx="29">
                <c:v>-16.980645161290298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40744040"/>
        <c:axId val="740747568"/>
      </c:barChart>
      <c:catAx>
        <c:axId val="74074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40747568"/>
        <c:crossesAt val="0"/>
        <c:auto val="1"/>
        <c:lblAlgn val="ctr"/>
        <c:lblOffset val="100"/>
        <c:noMultiLvlLbl val="0"/>
      </c:catAx>
      <c:valAx>
        <c:axId val="7407475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74404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Linear trend model for X1_    (1 variable,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  <a:effectLst/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31.01935483870966</c:v>
              </c:pt>
              <c:pt idx="1">
                <c:v>31.535261401557268</c:v>
              </c:pt>
              <c:pt idx="2">
                <c:v>32.051167964404875</c:v>
              </c:pt>
              <c:pt idx="3">
                <c:v>32.567074527252487</c:v>
              </c:pt>
              <c:pt idx="4">
                <c:v>33.082981090100091</c:v>
              </c:pt>
              <c:pt idx="5">
                <c:v>33.598887652947703</c:v>
              </c:pt>
              <c:pt idx="6">
                <c:v>34.114794215795307</c:v>
              </c:pt>
              <c:pt idx="7">
                <c:v>34.630700778642918</c:v>
              </c:pt>
              <c:pt idx="8">
                <c:v>35.146607341490522</c:v>
              </c:pt>
              <c:pt idx="9">
                <c:v>35.662513904338134</c:v>
              </c:pt>
              <c:pt idx="10">
                <c:v>36.178420467185745</c:v>
              </c:pt>
              <c:pt idx="11">
                <c:v>36.69432703003335</c:v>
              </c:pt>
              <c:pt idx="12">
                <c:v>37.210233592880961</c:v>
              </c:pt>
              <c:pt idx="13">
                <c:v>37.726140155728565</c:v>
              </c:pt>
              <c:pt idx="14">
                <c:v>38.242046718576177</c:v>
              </c:pt>
              <c:pt idx="15">
                <c:v>38.757953281423781</c:v>
              </c:pt>
              <c:pt idx="16">
                <c:v>39.273859844271392</c:v>
              </c:pt>
              <c:pt idx="17">
                <c:v>39.789766407118996</c:v>
              </c:pt>
              <c:pt idx="18">
                <c:v>40.305672969966608</c:v>
              </c:pt>
              <c:pt idx="19">
                <c:v>40.821579532814212</c:v>
              </c:pt>
              <c:pt idx="20">
                <c:v>41.337486095661824</c:v>
              </c:pt>
              <c:pt idx="21">
                <c:v>41.853392658509435</c:v>
              </c:pt>
              <c:pt idx="22">
                <c:v>42.369299221357039</c:v>
              </c:pt>
              <c:pt idx="23">
                <c:v>42.885205784204643</c:v>
              </c:pt>
              <c:pt idx="24">
                <c:v>43.401112347052255</c:v>
              </c:pt>
              <c:pt idx="25">
                <c:v>43.917018909899866</c:v>
              </c:pt>
              <c:pt idx="26">
                <c:v>44.432925472747471</c:v>
              </c:pt>
              <c:pt idx="27">
                <c:v>44.948832035595082</c:v>
              </c:pt>
              <c:pt idx="28">
                <c:v>45.464738598442686</c:v>
              </c:pt>
              <c:pt idx="29">
                <c:v>45.980645161290298</c:v>
              </c:pt>
            </c:numLit>
          </c:xVal>
          <c:yVal>
            <c:numLit>
              <c:formatCode>General</c:formatCode>
              <c:ptCount val="30"/>
              <c:pt idx="0">
                <c:v>-6.0193548387096598</c:v>
              </c:pt>
              <c:pt idx="1">
                <c:v>10.464738598442732</c:v>
              </c:pt>
              <c:pt idx="2">
                <c:v>21.948832035595125</c:v>
              </c:pt>
              <c:pt idx="3">
                <c:v>-6.5670745272524869</c:v>
              </c:pt>
              <c:pt idx="4">
                <c:v>5.9170189098999089</c:v>
              </c:pt>
              <c:pt idx="5">
                <c:v>0.40111234705229748</c:v>
              </c:pt>
              <c:pt idx="6">
                <c:v>-10.114794215795307</c:v>
              </c:pt>
              <c:pt idx="7">
                <c:v>2.3692992213570818</c:v>
              </c:pt>
              <c:pt idx="8">
                <c:v>-12.146607341490522</c:v>
              </c:pt>
              <c:pt idx="9">
                <c:v>4.3374860956618662</c:v>
              </c:pt>
              <c:pt idx="10">
                <c:v>-6.1784204671857452</c:v>
              </c:pt>
              <c:pt idx="11">
                <c:v>-21.69432703003335</c:v>
              </c:pt>
              <c:pt idx="12">
                <c:v>-14.210233592880961</c:v>
              </c:pt>
              <c:pt idx="13">
                <c:v>2.2738598442714348</c:v>
              </c:pt>
              <c:pt idx="14">
                <c:v>-6.2420467185761765</c:v>
              </c:pt>
              <c:pt idx="15">
                <c:v>7.2420467185762192</c:v>
              </c:pt>
              <c:pt idx="16">
                <c:v>10.726140155728608</c:v>
              </c:pt>
              <c:pt idx="17">
                <c:v>-13.789766407118996</c:v>
              </c:pt>
              <c:pt idx="18">
                <c:v>3.6943270300333921</c:v>
              </c:pt>
              <c:pt idx="19">
                <c:v>17.178420467185788</c:v>
              </c:pt>
              <c:pt idx="20">
                <c:v>6.6625139043381765</c:v>
              </c:pt>
              <c:pt idx="21">
                <c:v>4.1466073414905651</c:v>
              </c:pt>
              <c:pt idx="22">
                <c:v>-6.3692992213570392</c:v>
              </c:pt>
              <c:pt idx="23">
                <c:v>12.114794215795357</c:v>
              </c:pt>
              <c:pt idx="24">
                <c:v>11.598887652947745</c:v>
              </c:pt>
              <c:pt idx="25">
                <c:v>-2.9170189098998662</c:v>
              </c:pt>
              <c:pt idx="26">
                <c:v>-9.4329254727474705</c:v>
              </c:pt>
              <c:pt idx="27">
                <c:v>19.051167964404918</c:v>
              </c:pt>
              <c:pt idx="28">
                <c:v>-7.4647385984426862</c:v>
              </c:pt>
              <c:pt idx="29">
                <c:v>-16.980645161290298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1264"/>
        <c:axId val="742018912"/>
      </c:scatterChart>
      <c:valAx>
        <c:axId val="742021264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018912"/>
        <c:crossesAt val="-30"/>
        <c:crossBetween val="midCat"/>
      </c:valAx>
      <c:valAx>
        <c:axId val="7420189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021264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Linear trend model for X1_    (1 variable,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Lit>
              <c:ptCount val="11"/>
              <c:pt idx="0">
                <c:v>-22.0</c:v>
              </c:pt>
              <c:pt idx="1">
                <c:v>-17.6</c:v>
              </c:pt>
              <c:pt idx="2">
                <c:v>-13.2</c:v>
              </c:pt>
              <c:pt idx="3">
                <c:v>-8.8</c:v>
              </c:pt>
              <c:pt idx="4">
                <c:v>-4.4</c:v>
              </c:pt>
              <c:pt idx="5">
                <c:v>0.0</c:v>
              </c:pt>
              <c:pt idx="6">
                <c:v>4.4</c:v>
              </c:pt>
              <c:pt idx="7">
                <c:v>8.8</c:v>
              </c:pt>
              <c:pt idx="8">
                <c:v>13.2</c:v>
              </c:pt>
              <c:pt idx="9">
                <c:v>17.6</c:v>
              </c:pt>
              <c:pt idx="10">
                <c:v>22.0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6</c:v>
              </c:pt>
              <c:pt idx="7">
                <c:v>4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9525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-22.0</c:v>
              </c:pt>
              <c:pt idx="1">
                <c:v>-17.6</c:v>
              </c:pt>
              <c:pt idx="2">
                <c:v>-13.2</c:v>
              </c:pt>
              <c:pt idx="3">
                <c:v>-8.8</c:v>
              </c:pt>
              <c:pt idx="4">
                <c:v>-4.4</c:v>
              </c:pt>
              <c:pt idx="5">
                <c:v>0.0</c:v>
              </c:pt>
              <c:pt idx="6">
                <c:v>4.4</c:v>
              </c:pt>
              <c:pt idx="7">
                <c:v>8.8</c:v>
              </c:pt>
              <c:pt idx="8">
                <c:v>13.2</c:v>
              </c:pt>
              <c:pt idx="9">
                <c:v>17.6</c:v>
              </c:pt>
              <c:pt idx="10">
                <c:v>22.0</c:v>
              </c:pt>
            </c:strLit>
          </c:cat>
          <c:val>
            <c:numLit>
              <c:formatCode>General</c:formatCode>
              <c:ptCount val="11"/>
              <c:pt idx="0">
                <c:v>0.68258278277383311</c:v>
              </c:pt>
              <c:pt idx="1">
                <c:v>1.3674758621380061</c:v>
              </c:pt>
              <c:pt idx="2">
                <c:v>2.3475534782090786</c:v>
              </c:pt>
              <c:pt idx="3">
                <c:v>3.4534255076305485</c:v>
              </c:pt>
              <c:pt idx="4">
                <c:v>4.3534015567544166</c:v>
              </c:pt>
              <c:pt idx="5">
                <c:v>4.7027791610497616</c:v>
              </c:pt>
              <c:pt idx="6">
                <c:v>4.3534015567544131</c:v>
              </c:pt>
              <c:pt idx="7">
                <c:v>3.453425507630552</c:v>
              </c:pt>
              <c:pt idx="8">
                <c:v>2.347553478209079</c:v>
              </c:pt>
              <c:pt idx="9">
                <c:v>1.3674758621380079</c:v>
              </c:pt>
              <c:pt idx="10">
                <c:v>0.68258278277383155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2023224"/>
        <c:axId val="742023616"/>
      </c:barChart>
      <c:catAx>
        <c:axId val="74202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0.268 (P=0.686)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023616"/>
        <c:crosses val="autoZero"/>
        <c:auto val="1"/>
        <c:lblAlgn val="ctr"/>
        <c:lblOffset val="100"/>
        <c:noMultiLvlLbl val="0"/>
      </c:catAx>
      <c:valAx>
        <c:axId val="742023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02322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Linear trend model for X1_    (1 variable,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-1.9500238294717436</c:v>
              </c:pt>
              <c:pt idx="1">
                <c:v>-1.5263281805644116</c:v>
              </c:pt>
              <c:pt idx="2">
                <c:v>-1.2773060021689526</c:v>
              </c:pt>
              <c:pt idx="3">
                <c:v>-1.2395117423787474</c:v>
              </c:pt>
              <c:pt idx="4">
                <c:v>-1.0918141747541699</c:v>
              </c:pt>
              <c:pt idx="5">
                <c:v>-0.90918191302721796</c:v>
              </c:pt>
              <c:pt idx="6">
                <c:v>-0.84789122188595967</c:v>
              </c:pt>
              <c:pt idx="7">
                <c:v>-0.67097809153466814</c:v>
              </c:pt>
              <c:pt idx="8">
                <c:v>-0.59029034642701006</c:v>
              </c:pt>
              <c:pt idx="9">
                <c:v>-0.57251304645161671</c:v>
              </c:pt>
              <c:pt idx="10">
                <c:v>-0.56107478370029595</c:v>
              </c:pt>
              <c:pt idx="11">
                <c:v>-0.55535565232463557</c:v>
              </c:pt>
              <c:pt idx="12">
                <c:v>-0.54105782388548407</c:v>
              </c:pt>
              <c:pt idx="13">
                <c:v>-0.26220017691489939</c:v>
              </c:pt>
              <c:pt idx="14">
                <c:v>3.6054524022085685E-2</c:v>
              </c:pt>
              <c:pt idx="15">
                <c:v>0.20438895730988663</c:v>
              </c:pt>
              <c:pt idx="16">
                <c:v>0.2129676543733772</c:v>
              </c:pt>
              <c:pt idx="17">
                <c:v>0.33206956511965208</c:v>
              </c:pt>
              <c:pt idx="18">
                <c:v>0.37272339059768694</c:v>
              </c:pt>
              <c:pt idx="19">
                <c:v>0.38988078472466869</c:v>
              </c:pt>
              <c:pt idx="20">
                <c:v>0.53185922097358573</c:v>
              </c:pt>
              <c:pt idx="21">
                <c:v>0.5988690434905044</c:v>
              </c:pt>
              <c:pt idx="22">
                <c:v>0.6509611317198607</c:v>
              </c:pt>
              <c:pt idx="23">
                <c:v>0.94063713559335482</c:v>
              </c:pt>
              <c:pt idx="24">
                <c:v>0.96413356694440822</c:v>
              </c:pt>
              <c:pt idx="25">
                <c:v>1.0425816522126483</c:v>
              </c:pt>
              <c:pt idx="26">
                <c:v>1.0889546090663442</c:v>
              </c:pt>
              <c:pt idx="27">
                <c:v>1.5441054805398087</c:v>
              </c:pt>
              <c:pt idx="28">
                <c:v>1.712439913827609</c:v>
              </c:pt>
              <c:pt idx="29">
                <c:v>1.9729003549743895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4400"/>
        <c:axId val="740748352"/>
      </c:scatterChart>
      <c:valAx>
        <c:axId val="74202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0.268 (P=0.686)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748352"/>
        <c:crosses val="autoZero"/>
        <c:crossBetween val="midCat"/>
      </c:valAx>
      <c:valAx>
        <c:axId val="74074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02440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Linear trend  model for X2_    (1 variable, n=30)
Predicted X2_ = 14.959 + 0.861*T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20</c:v>
              </c:pt>
              <c:pt idx="1">
                <c:v>19</c:v>
              </c:pt>
              <c:pt idx="2">
                <c:v>21</c:v>
              </c:pt>
              <c:pt idx="3">
                <c:v>18</c:v>
              </c:pt>
              <c:pt idx="4">
                <c:v>18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22</c:v>
              </c:pt>
              <c:pt idx="9">
                <c:v>22</c:v>
              </c:pt>
              <c:pt idx="10">
                <c:v>26</c:v>
              </c:pt>
              <c:pt idx="11">
                <c:v>24</c:v>
              </c:pt>
              <c:pt idx="12">
                <c:v>23</c:v>
              </c:pt>
              <c:pt idx="13">
                <c:v>23</c:v>
              </c:pt>
              <c:pt idx="14">
                <c:v>25</c:v>
              </c:pt>
              <c:pt idx="15">
                <c:v>27</c:v>
              </c:pt>
              <c:pt idx="16">
                <c:v>28</c:v>
              </c:pt>
              <c:pt idx="17">
                <c:v>28</c:v>
              </c:pt>
              <c:pt idx="18">
                <c:v>29</c:v>
              </c:pt>
              <c:pt idx="19">
                <c:v>29</c:v>
              </c:pt>
              <c:pt idx="20">
                <c:v>31</c:v>
              </c:pt>
              <c:pt idx="21">
                <c:v>35</c:v>
              </c:pt>
              <c:pt idx="22">
                <c:v>36</c:v>
              </c:pt>
              <c:pt idx="23">
                <c:v>37</c:v>
              </c:pt>
              <c:pt idx="24">
                <c:v>37</c:v>
              </c:pt>
              <c:pt idx="25">
                <c:v>37</c:v>
              </c:pt>
              <c:pt idx="26">
                <c:v>41</c:v>
              </c:pt>
              <c:pt idx="27">
                <c:v>42</c:v>
              </c:pt>
              <c:pt idx="28">
                <c:v>41</c:v>
              </c:pt>
              <c:pt idx="29">
                <c:v>44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21392"/>
        <c:axId val="704523352"/>
      </c:scatterChart>
      <c:scatterChart>
        <c:scatterStyle val="lineMarker"/>
        <c:varyColors val="0"/>
        <c:ser>
          <c:idx val="1"/>
          <c:order val="1"/>
          <c:tx>
            <c:strRef>
              <c:f>'Linear trend model for X2'!$G$25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'Linear trend model for X2'!$B$26:$B$30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X2'!$G$26:$G$30</c:f>
              <c:numCache>
                <c:formatCode>#,##0.000</c:formatCode>
                <c:ptCount val="5"/>
                <c:pt idx="0">
                  <c:v>20.771283498564948</c:v>
                </c:pt>
                <c:pt idx="1">
                  <c:v>26.854971699087873</c:v>
                </c:pt>
                <c:pt idx="2">
                  <c:v>33.041933201577372</c:v>
                </c:pt>
                <c:pt idx="3">
                  <c:v>39.335616860378195</c:v>
                </c:pt>
                <c:pt idx="4">
                  <c:v>45.732573821145593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'Linear trend model for X2'!$E$25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'Linear trend model for X2'!$B$26:$B$30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X2'!$E$26:$E$30</c:f>
              <c:numCache>
                <c:formatCode>#,##0.000</c:formatCode>
                <c:ptCount val="5"/>
                <c:pt idx="0">
                  <c:v>15.819354838709705</c:v>
                </c:pt>
                <c:pt idx="1">
                  <c:v>22.059677419354866</c:v>
                </c:pt>
                <c:pt idx="2">
                  <c:v>28.300000000000026</c:v>
                </c:pt>
                <c:pt idx="3">
                  <c:v>34.540322580645189</c:v>
                </c:pt>
                <c:pt idx="4">
                  <c:v>40.780645161290352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'Linear trend model for X2'!$F$25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'Linear trend model for X2'!$B$26:$B$30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X2'!$F$26:$F$30</c:f>
              <c:numCache>
                <c:formatCode>#,##0.000</c:formatCode>
                <c:ptCount val="5"/>
                <c:pt idx="0">
                  <c:v>10.867426178854464</c:v>
                </c:pt>
                <c:pt idx="1">
                  <c:v>17.264383139621859</c:v>
                </c:pt>
                <c:pt idx="2">
                  <c:v>23.558066798422679</c:v>
                </c:pt>
                <c:pt idx="3">
                  <c:v>29.745028300912182</c:v>
                </c:pt>
                <c:pt idx="4">
                  <c:v>35.82871650143511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23744"/>
        <c:axId val="704522568"/>
      </c:scatterChart>
      <c:valAx>
        <c:axId val="7045213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523352"/>
        <c:crossesAt val="10"/>
        <c:crossBetween val="midCat"/>
      </c:valAx>
      <c:valAx>
        <c:axId val="704523352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4521392"/>
        <c:crossesAt val="0"/>
        <c:crossBetween val="midCat"/>
      </c:valAx>
      <c:valAx>
        <c:axId val="704522568"/>
        <c:scaling>
          <c:orientation val="minMax"/>
          <c:min val="10"/>
        </c:scaling>
        <c:delete val="1"/>
        <c:axPos val="r"/>
        <c:numFmt formatCode="#,##0.000" sourceLinked="1"/>
        <c:majorTickMark val="out"/>
        <c:minorTickMark val="none"/>
        <c:tickLblPos val="nextTo"/>
        <c:crossAx val="704523744"/>
        <c:crosses val="max"/>
        <c:crossBetween val="midCat"/>
      </c:valAx>
      <c:valAx>
        <c:axId val="704523744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704522568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 trend model for X2'!$AA$2</c:f>
          <c:strCache>
            <c:ptCount val="1"/>
            <c:pt idx="0">
              <c:v>Forecasts and 95.0% confidence limits for means and forecasts
Linear trend  model for X2_    (1 variable, n=30)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'Linear trend model for X2'!$CG$52</c:f>
                <c:numCache>
                  <c:formatCode>General</c:formatCode>
                  <c:ptCount val="1"/>
                  <c:pt idx="0">
                    <c:v>4.9811706684656381</c:v>
                  </c:pt>
                </c:numCache>
              </c:numRef>
            </c:plus>
            <c:minus>
              <c:numRef>
                <c:f>'Linear trend model for X2'!$CG$52</c:f>
                <c:numCache>
                  <c:formatCode>General</c:formatCode>
                  <c:ptCount val="1"/>
                  <c:pt idx="0">
                    <c:v>4.9811706684656381</c:v>
                  </c:pt>
                </c:numCache>
              </c:numRef>
            </c:minus>
          </c:errBars>
          <c:cat>
            <c:numRef>
              <c:f>'Linear trend model for X2'!$A$52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X2'!$B$52</c:f>
              <c:numCache>
                <c:formatCode>#,##0.000</c:formatCode>
                <c:ptCount val="1"/>
                <c:pt idx="0">
                  <c:v>41.641379310344803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'Linear trend model for X2'!$H$51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numRef>
              <c:f>'Linear trend model for X2'!$A$52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X2'!$H$52</c:f>
              <c:numCache>
                <c:formatCode>0.000</c:formatCode>
                <c:ptCount val="1"/>
                <c:pt idx="0">
                  <c:v>43.388228856400531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'Linear trend model for X2'!$G$51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cat>
            <c:numRef>
              <c:f>'Linear trend model for X2'!$A$52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X2'!$G$52</c:f>
              <c:numCache>
                <c:formatCode>0.000</c:formatCode>
                <c:ptCount val="1"/>
                <c:pt idx="0">
                  <c:v>39.894529764289075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911144"/>
        <c:axId val="739911536"/>
      </c:lineChart>
      <c:catAx>
        <c:axId val="73991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39911536"/>
        <c:crossesAt val="36"/>
        <c:auto val="1"/>
        <c:lblAlgn val="ctr"/>
        <c:lblOffset val="100"/>
        <c:noMultiLvlLbl val="0"/>
      </c:catAx>
      <c:valAx>
        <c:axId val="739911536"/>
        <c:scaling>
          <c:orientation val="minMax"/>
          <c:min val="3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3991114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 trend model for X2'!$AA$3</c:f>
          <c:strCache>
            <c:ptCount val="1"/>
            <c:pt idx="0">
              <c:v>Actual and predicted -vs- Observation # with 95.0% confidence limits
Linear trend  model for X2_    (1 variable, n=30)</c:v>
            </c:pt>
          </c:strCache>
        </c:strRef>
      </c:tx>
      <c:layout/>
      <c:overlay val="0"/>
      <c:txPr>
        <a:bodyPr/>
        <a:lstStyle/>
        <a:p>
          <a:pPr>
            <a:defRPr sz="10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20</c:v>
              </c:pt>
              <c:pt idx="1">
                <c:v>19</c:v>
              </c:pt>
              <c:pt idx="2">
                <c:v>21</c:v>
              </c:pt>
              <c:pt idx="3">
                <c:v>18</c:v>
              </c:pt>
              <c:pt idx="4">
                <c:v>18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22</c:v>
              </c:pt>
              <c:pt idx="9">
                <c:v>22</c:v>
              </c:pt>
              <c:pt idx="10">
                <c:v>26</c:v>
              </c:pt>
              <c:pt idx="11">
                <c:v>24</c:v>
              </c:pt>
              <c:pt idx="12">
                <c:v>23</c:v>
              </c:pt>
              <c:pt idx="13">
                <c:v>23</c:v>
              </c:pt>
              <c:pt idx="14">
                <c:v>25</c:v>
              </c:pt>
              <c:pt idx="15">
                <c:v>27</c:v>
              </c:pt>
              <c:pt idx="16">
                <c:v>28</c:v>
              </c:pt>
              <c:pt idx="17">
                <c:v>28</c:v>
              </c:pt>
              <c:pt idx="18">
                <c:v>29</c:v>
              </c:pt>
              <c:pt idx="19">
                <c:v>29</c:v>
              </c:pt>
              <c:pt idx="20">
                <c:v>31</c:v>
              </c:pt>
              <c:pt idx="21">
                <c:v>35</c:v>
              </c:pt>
              <c:pt idx="22">
                <c:v>36</c:v>
              </c:pt>
              <c:pt idx="23">
                <c:v>37</c:v>
              </c:pt>
              <c:pt idx="24">
                <c:v>37</c:v>
              </c:pt>
              <c:pt idx="25">
                <c:v>37</c:v>
              </c:pt>
              <c:pt idx="26">
                <c:v>41</c:v>
              </c:pt>
              <c:pt idx="27">
                <c:v>42</c:v>
              </c:pt>
              <c:pt idx="28">
                <c:v>41</c:v>
              </c:pt>
              <c:pt idx="29">
                <c:v>44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15.819354838709668</c:v>
              </c:pt>
              <c:pt idx="1">
                <c:v>16.680088987764172</c:v>
              </c:pt>
              <c:pt idx="2">
                <c:v>17.540823136818677</c:v>
              </c:pt>
              <c:pt idx="3">
                <c:v>18.401557285873182</c:v>
              </c:pt>
              <c:pt idx="4">
                <c:v>19.262291434927686</c:v>
              </c:pt>
              <c:pt idx="5">
                <c:v>20.123025583982191</c:v>
              </c:pt>
              <c:pt idx="6">
                <c:v>20.983759733036695</c:v>
              </c:pt>
              <c:pt idx="7">
                <c:v>21.8444938820912</c:v>
              </c:pt>
              <c:pt idx="8">
                <c:v>22.705228031145705</c:v>
              </c:pt>
              <c:pt idx="9">
                <c:v>23.565962180200209</c:v>
              </c:pt>
              <c:pt idx="10">
                <c:v>24.426696329254714</c:v>
              </c:pt>
              <c:pt idx="11">
                <c:v>25.287430478309219</c:v>
              </c:pt>
              <c:pt idx="12">
                <c:v>26.148164627363723</c:v>
              </c:pt>
              <c:pt idx="13">
                <c:v>27.008898776418228</c:v>
              </c:pt>
              <c:pt idx="14">
                <c:v>27.869632925472732</c:v>
              </c:pt>
              <c:pt idx="15">
                <c:v>28.730367074527237</c:v>
              </c:pt>
              <c:pt idx="16">
                <c:v>29.591101223581742</c:v>
              </c:pt>
              <c:pt idx="17">
                <c:v>30.451835372636246</c:v>
              </c:pt>
              <c:pt idx="18">
                <c:v>31.312569521690751</c:v>
              </c:pt>
              <c:pt idx="19">
                <c:v>32.173303670745256</c:v>
              </c:pt>
              <c:pt idx="20">
                <c:v>33.034037819799764</c:v>
              </c:pt>
              <c:pt idx="21">
                <c:v>33.894771968854265</c:v>
              </c:pt>
              <c:pt idx="22">
                <c:v>34.755506117908766</c:v>
              </c:pt>
              <c:pt idx="23">
                <c:v>35.616240266963274</c:v>
              </c:pt>
              <c:pt idx="24">
                <c:v>36.476974416017782</c:v>
              </c:pt>
              <c:pt idx="25">
                <c:v>37.337708565072283</c:v>
              </c:pt>
              <c:pt idx="26">
                <c:v>38.198442714126784</c:v>
              </c:pt>
              <c:pt idx="27">
                <c:v>39.059176863181293</c:v>
              </c:pt>
              <c:pt idx="28">
                <c:v>39.919911012235801</c:v>
              </c:pt>
              <c:pt idx="29">
                <c:v>40.780645161290302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'Linear trend model for X2'!$CG$52</c:f>
                <c:numCache>
                  <c:formatCode>General</c:formatCode>
                  <c:ptCount val="1"/>
                  <c:pt idx="0">
                    <c:v>4.9811706684656381</c:v>
                  </c:pt>
                </c:numCache>
              </c:numRef>
            </c:plus>
            <c:minus>
              <c:numRef>
                <c:f>'Linear trend model for X2'!$CG$52</c:f>
                <c:numCache>
                  <c:formatCode>General</c:formatCode>
                  <c:ptCount val="1"/>
                  <c:pt idx="0">
                    <c:v>4.9811706684656381</c:v>
                  </c:pt>
                </c:numCache>
              </c:numRef>
            </c:minus>
          </c:errBars>
          <c:xVal>
            <c:numRef>
              <c:f>'Linear trend model for X2'!$A$52:$A$52</c:f>
              <c:numCache>
                <c:formatCode>0</c:formatCode>
                <c:ptCount val="1"/>
                <c:pt idx="0">
                  <c:v>31</c:v>
                </c:pt>
              </c:numCache>
            </c:numRef>
          </c:xVal>
          <c:yVal>
            <c:numRef>
              <c:f>'Linear trend model for X2'!$B$52:$B$52</c:f>
              <c:numCache>
                <c:formatCode>#,##0.000</c:formatCode>
                <c:ptCount val="1"/>
                <c:pt idx="0">
                  <c:v>41.641379310344803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10752"/>
        <c:axId val="739914280"/>
      </c:scatterChart>
      <c:valAx>
        <c:axId val="7399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39914280"/>
        <c:crossesAt val="15"/>
        <c:crossBetween val="midCat"/>
      </c:valAx>
      <c:valAx>
        <c:axId val="739914280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991075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Observation #
</a:t>
            </a:r>
            <a:r>
              <a:rPr lang="en-US" sz="1000"/>
              <a:t>Linear trend  model for X2_    (1 variable,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Lit>
              <c:formatCode>General</c:formatCode>
              <c:ptCount val="30"/>
              <c:pt idx="0">
                <c:v>4.1806451612903324</c:v>
              </c:pt>
              <c:pt idx="1">
                <c:v>2.3199110122358277</c:v>
              </c:pt>
              <c:pt idx="2">
                <c:v>3.4591768631813231</c:v>
              </c:pt>
              <c:pt idx="3">
                <c:v>-0.40155728587318151</c:v>
              </c:pt>
              <c:pt idx="4">
                <c:v>-1.2622914349276861</c:v>
              </c:pt>
              <c:pt idx="5">
                <c:v>0.87697441601780923</c:v>
              </c:pt>
              <c:pt idx="6">
                <c:v>1.0162402669633046</c:v>
              </c:pt>
              <c:pt idx="7">
                <c:v>1.1555061179088</c:v>
              </c:pt>
              <c:pt idx="8">
                <c:v>-0.70522803114570465</c:v>
              </c:pt>
              <c:pt idx="9">
                <c:v>-1.5659621802002093</c:v>
              </c:pt>
              <c:pt idx="10">
                <c:v>1.5733036707452861</c:v>
              </c:pt>
              <c:pt idx="11">
                <c:v>-1.2874304783092185</c:v>
              </c:pt>
              <c:pt idx="12">
                <c:v>-3.1481646273637232</c:v>
              </c:pt>
              <c:pt idx="13">
                <c:v>-4.0088987764182278</c:v>
              </c:pt>
              <c:pt idx="14">
                <c:v>-2.8696329254727324</c:v>
              </c:pt>
              <c:pt idx="15">
                <c:v>-1.730367074527237</c:v>
              </c:pt>
              <c:pt idx="16">
                <c:v>-1.5911012235817417</c:v>
              </c:pt>
              <c:pt idx="17">
                <c:v>-2.4518353726362463</c:v>
              </c:pt>
              <c:pt idx="18">
                <c:v>-2.3125695216907509</c:v>
              </c:pt>
              <c:pt idx="19">
                <c:v>-3.1733036707452555</c:v>
              </c:pt>
              <c:pt idx="20">
                <c:v>-2.0340378197997637</c:v>
              </c:pt>
              <c:pt idx="21">
                <c:v>1.1052280311457352</c:v>
              </c:pt>
              <c:pt idx="22">
                <c:v>1.2444938820912341</c:v>
              </c:pt>
              <c:pt idx="23">
                <c:v>1.3837597330367259</c:v>
              </c:pt>
              <c:pt idx="24">
                <c:v>0.52302558398221777</c:v>
              </c:pt>
              <c:pt idx="25">
                <c:v>-0.33770856507228331</c:v>
              </c:pt>
              <c:pt idx="26">
                <c:v>2.8015572858732156</c:v>
              </c:pt>
              <c:pt idx="27">
                <c:v>2.9408231368187074</c:v>
              </c:pt>
              <c:pt idx="28">
                <c:v>1.0800889877641993</c:v>
              </c:pt>
              <c:pt idx="29">
                <c:v>3.2193548387096982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40804688"/>
        <c:axId val="740801552"/>
      </c:barChart>
      <c:catAx>
        <c:axId val="74080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40801552"/>
        <c:crossesAt val="0"/>
        <c:auto val="1"/>
        <c:lblAlgn val="ctr"/>
        <c:lblOffset val="100"/>
        <c:noMultiLvlLbl val="0"/>
      </c:catAx>
      <c:valAx>
        <c:axId val="740801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0468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Linear trend  model for X2_    (1 variable,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  <a:effectLst/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15.819354838709668</c:v>
              </c:pt>
              <c:pt idx="1">
                <c:v>16.680088987764172</c:v>
              </c:pt>
              <c:pt idx="2">
                <c:v>17.540823136818677</c:v>
              </c:pt>
              <c:pt idx="3">
                <c:v>18.401557285873182</c:v>
              </c:pt>
              <c:pt idx="4">
                <c:v>19.262291434927686</c:v>
              </c:pt>
              <c:pt idx="5">
                <c:v>20.123025583982191</c:v>
              </c:pt>
              <c:pt idx="6">
                <c:v>20.983759733036695</c:v>
              </c:pt>
              <c:pt idx="7">
                <c:v>21.8444938820912</c:v>
              </c:pt>
              <c:pt idx="8">
                <c:v>22.705228031145705</c:v>
              </c:pt>
              <c:pt idx="9">
                <c:v>23.565962180200209</c:v>
              </c:pt>
              <c:pt idx="10">
                <c:v>24.426696329254714</c:v>
              </c:pt>
              <c:pt idx="11">
                <c:v>25.287430478309219</c:v>
              </c:pt>
              <c:pt idx="12">
                <c:v>26.148164627363723</c:v>
              </c:pt>
              <c:pt idx="13">
                <c:v>27.008898776418228</c:v>
              </c:pt>
              <c:pt idx="14">
                <c:v>27.869632925472732</c:v>
              </c:pt>
              <c:pt idx="15">
                <c:v>28.730367074527237</c:v>
              </c:pt>
              <c:pt idx="16">
                <c:v>29.591101223581742</c:v>
              </c:pt>
              <c:pt idx="17">
                <c:v>30.451835372636246</c:v>
              </c:pt>
              <c:pt idx="18">
                <c:v>31.312569521690751</c:v>
              </c:pt>
              <c:pt idx="19">
                <c:v>32.173303670745256</c:v>
              </c:pt>
              <c:pt idx="20">
                <c:v>33.034037819799764</c:v>
              </c:pt>
              <c:pt idx="21">
                <c:v>33.894771968854265</c:v>
              </c:pt>
              <c:pt idx="22">
                <c:v>34.755506117908766</c:v>
              </c:pt>
              <c:pt idx="23">
                <c:v>35.616240266963274</c:v>
              </c:pt>
              <c:pt idx="24">
                <c:v>36.476974416017782</c:v>
              </c:pt>
              <c:pt idx="25">
                <c:v>37.337708565072283</c:v>
              </c:pt>
              <c:pt idx="26">
                <c:v>38.198442714126784</c:v>
              </c:pt>
              <c:pt idx="27">
                <c:v>39.059176863181293</c:v>
              </c:pt>
              <c:pt idx="28">
                <c:v>39.919911012235801</c:v>
              </c:pt>
              <c:pt idx="29">
                <c:v>40.780645161290302</c:v>
              </c:pt>
            </c:numLit>
          </c:xVal>
          <c:yVal>
            <c:numLit>
              <c:formatCode>General</c:formatCode>
              <c:ptCount val="30"/>
              <c:pt idx="0">
                <c:v>4.1806451612903324</c:v>
              </c:pt>
              <c:pt idx="1">
                <c:v>2.3199110122358277</c:v>
              </c:pt>
              <c:pt idx="2">
                <c:v>3.4591768631813231</c:v>
              </c:pt>
              <c:pt idx="3">
                <c:v>-0.40155728587318151</c:v>
              </c:pt>
              <c:pt idx="4">
                <c:v>-1.2622914349276861</c:v>
              </c:pt>
              <c:pt idx="5">
                <c:v>0.87697441601780923</c:v>
              </c:pt>
              <c:pt idx="6">
                <c:v>1.0162402669633046</c:v>
              </c:pt>
              <c:pt idx="7">
                <c:v>1.1555061179088</c:v>
              </c:pt>
              <c:pt idx="8">
                <c:v>-0.70522803114570465</c:v>
              </c:pt>
              <c:pt idx="9">
                <c:v>-1.5659621802002093</c:v>
              </c:pt>
              <c:pt idx="10">
                <c:v>1.5733036707452861</c:v>
              </c:pt>
              <c:pt idx="11">
                <c:v>-1.2874304783092185</c:v>
              </c:pt>
              <c:pt idx="12">
                <c:v>-3.1481646273637232</c:v>
              </c:pt>
              <c:pt idx="13">
                <c:v>-4.0088987764182278</c:v>
              </c:pt>
              <c:pt idx="14">
                <c:v>-2.8696329254727324</c:v>
              </c:pt>
              <c:pt idx="15">
                <c:v>-1.730367074527237</c:v>
              </c:pt>
              <c:pt idx="16">
                <c:v>-1.5911012235817417</c:v>
              </c:pt>
              <c:pt idx="17">
                <c:v>-2.4518353726362463</c:v>
              </c:pt>
              <c:pt idx="18">
                <c:v>-2.3125695216907509</c:v>
              </c:pt>
              <c:pt idx="19">
                <c:v>-3.1733036707452555</c:v>
              </c:pt>
              <c:pt idx="20">
                <c:v>-2.0340378197997637</c:v>
              </c:pt>
              <c:pt idx="21">
                <c:v>1.1052280311457352</c:v>
              </c:pt>
              <c:pt idx="22">
                <c:v>1.2444938820912341</c:v>
              </c:pt>
              <c:pt idx="23">
                <c:v>1.3837597330367259</c:v>
              </c:pt>
              <c:pt idx="24">
                <c:v>0.52302558398221777</c:v>
              </c:pt>
              <c:pt idx="25">
                <c:v>-0.33770856507228331</c:v>
              </c:pt>
              <c:pt idx="26">
                <c:v>2.8015572858732156</c:v>
              </c:pt>
              <c:pt idx="27">
                <c:v>2.9408231368187074</c:v>
              </c:pt>
              <c:pt idx="28">
                <c:v>1.0800889877641993</c:v>
              </c:pt>
              <c:pt idx="29">
                <c:v>3.2193548387096982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02336"/>
        <c:axId val="740806648"/>
      </c:scatterChart>
      <c:valAx>
        <c:axId val="740802336"/>
        <c:scaling>
          <c:orientation val="minMax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06648"/>
        <c:crossesAt val="-6"/>
        <c:crossBetween val="midCat"/>
      </c:valAx>
      <c:valAx>
        <c:axId val="7408066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80233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'Mean model for X1'!$AA$2</c:f>
          <c:strCache>
            <c:ptCount val="1"/>
            <c:pt idx="0">
              <c:v>Forecasts and 50.0% confidence limits for means and forecasts
Mean model for X1_    (0 variables, n=30)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model for X1'!$CG$51</c:f>
                <c:numCache>
                  <c:formatCode>General</c:formatCode>
                  <c:ptCount val="1"/>
                  <c:pt idx="0">
                    <c:v>8.3434798780127277</c:v>
                  </c:pt>
                </c:numCache>
              </c:numRef>
            </c:plus>
            <c:minus>
              <c:numRef>
                <c:f>'Mean model for X1'!$CG$51</c:f>
                <c:numCache>
                  <c:formatCode>General</c:formatCode>
                  <c:ptCount val="1"/>
                  <c:pt idx="0">
                    <c:v>8.3434798780127277</c:v>
                  </c:pt>
                </c:numCache>
              </c:numRef>
            </c:minus>
          </c:errBars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X1'!$B$51</c:f>
              <c:numCache>
                <c:formatCode>#,##0.000</c:formatCode>
                <c:ptCount val="1"/>
                <c:pt idx="0">
                  <c:v>38.5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model for X1'!$H$50</c:f>
              <c:strCache>
                <c:ptCount val="1"/>
                <c:pt idx="0">
                  <c:v>Upper50%M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X1'!$H$51</c:f>
              <c:numCache>
                <c:formatCode>0.000</c:formatCode>
                <c:ptCount val="1"/>
                <c:pt idx="0">
                  <c:v>39.998533223444795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model for X1'!$G$50</c:f>
              <c:strCache>
                <c:ptCount val="1"/>
                <c:pt idx="0">
                  <c:v>Lower50%M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X1'!$G$51</c:f>
              <c:numCache>
                <c:formatCode>0.000</c:formatCode>
                <c:ptCount val="1"/>
                <c:pt idx="0">
                  <c:v>37.001466776555205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97616"/>
        <c:axId val="743198008"/>
      </c:lineChart>
      <c:catAx>
        <c:axId val="74319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43198008"/>
        <c:crossesAt val="10"/>
        <c:auto val="1"/>
        <c:lblAlgn val="ctr"/>
        <c:lblOffset val="100"/>
        <c:noMultiLvlLbl val="0"/>
      </c:catAx>
      <c:valAx>
        <c:axId val="74319800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4319761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Linear trend  model for X2_    (1 variable,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Lit>
              <c:ptCount val="11"/>
              <c:pt idx="0">
                <c:v>-4.20</c:v>
              </c:pt>
              <c:pt idx="1">
                <c:v>-3.36</c:v>
              </c:pt>
              <c:pt idx="2">
                <c:v>-2.52</c:v>
              </c:pt>
              <c:pt idx="3">
                <c:v>-1.68</c:v>
              </c:pt>
              <c:pt idx="4">
                <c:v>-0.84</c:v>
              </c:pt>
              <c:pt idx="5">
                <c:v>0.00</c:v>
              </c:pt>
              <c:pt idx="6">
                <c:v>0.84</c:v>
              </c:pt>
              <c:pt idx="7">
                <c:v>1.68</c:v>
              </c:pt>
              <c:pt idx="8">
                <c:v>2.52</c:v>
              </c:pt>
              <c:pt idx="9">
                <c:v>3.36</c:v>
              </c:pt>
              <c:pt idx="10">
                <c:v>4.20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1</c:v>
              </c:pt>
              <c:pt idx="5">
                <c:v>2</c:v>
              </c:pt>
              <c:pt idx="6">
                <c:v>7</c:v>
              </c:pt>
              <c:pt idx="7">
                <c:v>2</c:v>
              </c:pt>
              <c:pt idx="8">
                <c:v>2</c:v>
              </c:pt>
              <c:pt idx="9">
                <c:v>3</c:v>
              </c:pt>
              <c:pt idx="1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9525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-4.20</c:v>
              </c:pt>
              <c:pt idx="1">
                <c:v>-3.36</c:v>
              </c:pt>
              <c:pt idx="2">
                <c:v>-2.52</c:v>
              </c:pt>
              <c:pt idx="3">
                <c:v>-1.68</c:v>
              </c:pt>
              <c:pt idx="4">
                <c:v>-0.84</c:v>
              </c:pt>
              <c:pt idx="5">
                <c:v>0.00</c:v>
              </c:pt>
              <c:pt idx="6">
                <c:v>0.84</c:v>
              </c:pt>
              <c:pt idx="7">
                <c:v>1.68</c:v>
              </c:pt>
              <c:pt idx="8">
                <c:v>2.52</c:v>
              </c:pt>
              <c:pt idx="9">
                <c:v>3.36</c:v>
              </c:pt>
              <c:pt idx="10">
                <c:v>4.20</c:v>
              </c:pt>
            </c:strLit>
          </c:cat>
          <c:val>
            <c:numLit>
              <c:formatCode>General</c:formatCode>
              <c:ptCount val="11"/>
              <c:pt idx="0">
                <c:v>0.78322000823346061</c:v>
              </c:pt>
              <c:pt idx="1">
                <c:v>1.4658256615443372</c:v>
              </c:pt>
              <c:pt idx="2">
                <c:v>2.3866340482333692</c:v>
              </c:pt>
              <c:pt idx="3">
                <c:v>3.380641650049852</c:v>
              </c:pt>
              <c:pt idx="4">
                <c:v>4.16606190758346</c:v>
              </c:pt>
              <c:pt idx="5">
                <c:v>4.4665035016502284</c:v>
              </c:pt>
              <c:pt idx="6">
                <c:v>4.1660619075834582</c:v>
              </c:pt>
              <c:pt idx="7">
                <c:v>3.3806416500498528</c:v>
              </c:pt>
              <c:pt idx="8">
                <c:v>2.3866340482333683</c:v>
              </c:pt>
              <c:pt idx="9">
                <c:v>1.4658256615443364</c:v>
              </c:pt>
              <c:pt idx="10">
                <c:v>0.78322000823346372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9912320"/>
        <c:axId val="739917024"/>
      </c:barChart>
      <c:catAx>
        <c:axId val="7399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0.398 (P=0.366)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917024"/>
        <c:crosses val="autoZero"/>
        <c:auto val="1"/>
        <c:lblAlgn val="ctr"/>
        <c:lblOffset val="100"/>
        <c:noMultiLvlLbl val="0"/>
      </c:catAx>
      <c:valAx>
        <c:axId val="7399170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912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Linear trend  model for X2_    (1 variable,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-1.791538488894342</c:v>
              </c:pt>
              <c:pt idx="1">
                <c:v>-1.4181190347163626</c:v>
              </c:pt>
              <c:pt idx="2">
                <c:v>-1.4068846368670263</c:v>
              </c:pt>
              <c:pt idx="3">
                <c:v>-1.2824114854743665</c:v>
              </c:pt>
              <c:pt idx="4">
                <c:v>-1.0957017583853765</c:v>
              </c:pt>
              <c:pt idx="5">
                <c:v>-1.0334651826890466</c:v>
              </c:pt>
              <c:pt idx="6">
                <c:v>-0.90899203129638839</c:v>
              </c:pt>
              <c:pt idx="7">
                <c:v>-0.7732844820543906</c:v>
              </c:pt>
              <c:pt idx="8">
                <c:v>-0.7110479063580607</c:v>
              </c:pt>
              <c:pt idx="9">
                <c:v>-0.69981350850872437</c:v>
              </c:pt>
              <c:pt idx="10">
                <c:v>-0.57534035711606457</c:v>
              </c:pt>
              <c:pt idx="11">
                <c:v>-0.56410595926672824</c:v>
              </c:pt>
              <c:pt idx="12">
                <c:v>-0.31515965648140853</c:v>
              </c:pt>
              <c:pt idx="13">
                <c:v>-0.17945210723941241</c:v>
              </c:pt>
              <c:pt idx="14">
                <c:v>-0.15091872509109136</c:v>
              </c:pt>
              <c:pt idx="15">
                <c:v>0.23373512693622292</c:v>
              </c:pt>
              <c:pt idx="16">
                <c:v>0.39191147187689324</c:v>
              </c:pt>
              <c:pt idx="17">
                <c:v>0.45414804757322319</c:v>
              </c:pt>
              <c:pt idx="18">
                <c:v>0.48268142972154265</c:v>
              </c:pt>
              <c:pt idx="19">
                <c:v>0.49391582757088054</c:v>
              </c:pt>
              <c:pt idx="20">
                <c:v>0.51638462326955314</c:v>
              </c:pt>
              <c:pt idx="21">
                <c:v>0.55615240326721205</c:v>
              </c:pt>
              <c:pt idx="22">
                <c:v>0.61838897896354039</c:v>
              </c:pt>
              <c:pt idx="23">
                <c:v>0.70309435035854295</c:v>
              </c:pt>
              <c:pt idx="24">
                <c:v>1.0367460245388651</c:v>
              </c:pt>
              <c:pt idx="25">
                <c:v>1.2519891337761775</c:v>
              </c:pt>
              <c:pt idx="26">
                <c:v>1.3142257094725058</c:v>
              </c:pt>
              <c:pt idx="27">
                <c:v>1.4386988608651656</c:v>
              </c:pt>
              <c:pt idx="28">
                <c:v>1.5458730279588409</c:v>
              </c:pt>
              <c:pt idx="29">
                <c:v>1.8682903042898269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71720"/>
        <c:axId val="813268584"/>
      </c:scatterChart>
      <c:valAx>
        <c:axId val="8132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0.398 (P=0.366)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268584"/>
        <c:crosses val="autoZero"/>
        <c:crossBetween val="midCat"/>
      </c:valAx>
      <c:valAx>
        <c:axId val="813268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27172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'Mean model for X1'!$AA$3</c:f>
          <c:strCache>
            <c:ptCount val="1"/>
            <c:pt idx="0">
              <c:v>Actual and predicted -vs- Observation # with 50.0% confidence limits
Mean model for X1_    (0 variables, n=30)</c:v>
            </c:pt>
          </c:strCache>
        </c:strRef>
      </c:tx>
      <c:layout/>
      <c:overlay val="0"/>
      <c:txPr>
        <a:bodyPr/>
        <a:lstStyle/>
        <a:p>
          <a:pPr>
            <a:defRPr sz="10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38.5</c:v>
              </c:pt>
              <c:pt idx="1">
                <c:v>38.5</c:v>
              </c:pt>
              <c:pt idx="2">
                <c:v>38.5</c:v>
              </c:pt>
              <c:pt idx="3">
                <c:v>38.5</c:v>
              </c:pt>
              <c:pt idx="4">
                <c:v>38.5</c:v>
              </c:pt>
              <c:pt idx="5">
                <c:v>38.5</c:v>
              </c:pt>
              <c:pt idx="6">
                <c:v>38.5</c:v>
              </c:pt>
              <c:pt idx="7">
                <c:v>38.5</c:v>
              </c:pt>
              <c:pt idx="8">
                <c:v>38.5</c:v>
              </c:pt>
              <c:pt idx="9">
                <c:v>38.5</c:v>
              </c:pt>
              <c:pt idx="10">
                <c:v>38.5</c:v>
              </c:pt>
              <c:pt idx="11">
                <c:v>38.5</c:v>
              </c:pt>
              <c:pt idx="12">
                <c:v>38.5</c:v>
              </c:pt>
              <c:pt idx="13">
                <c:v>38.5</c:v>
              </c:pt>
              <c:pt idx="14">
                <c:v>38.5</c:v>
              </c:pt>
              <c:pt idx="15">
                <c:v>38.5</c:v>
              </c:pt>
              <c:pt idx="16">
                <c:v>38.5</c:v>
              </c:pt>
              <c:pt idx="17">
                <c:v>38.5</c:v>
              </c:pt>
              <c:pt idx="18">
                <c:v>38.5</c:v>
              </c:pt>
              <c:pt idx="19">
                <c:v>38.5</c:v>
              </c:pt>
              <c:pt idx="20">
                <c:v>38.5</c:v>
              </c:pt>
              <c:pt idx="21">
                <c:v>38.5</c:v>
              </c:pt>
              <c:pt idx="22">
                <c:v>38.5</c:v>
              </c:pt>
              <c:pt idx="23">
                <c:v>38.5</c:v>
              </c:pt>
              <c:pt idx="24">
                <c:v>38.5</c:v>
              </c:pt>
              <c:pt idx="25">
                <c:v>38.5</c:v>
              </c:pt>
              <c:pt idx="26">
                <c:v>38.5</c:v>
              </c:pt>
              <c:pt idx="27">
                <c:v>38.5</c:v>
              </c:pt>
              <c:pt idx="28">
                <c:v>38.5</c:v>
              </c:pt>
              <c:pt idx="29">
                <c:v>38.5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model for X1'!$CG$51</c:f>
                <c:numCache>
                  <c:formatCode>General</c:formatCode>
                  <c:ptCount val="1"/>
                  <c:pt idx="0">
                    <c:v>8.3434798780127277</c:v>
                  </c:pt>
                </c:numCache>
              </c:numRef>
            </c:plus>
            <c:minus>
              <c:numRef>
                <c:f>'Mean model for X1'!$CG$51</c:f>
                <c:numCache>
                  <c:formatCode>General</c:formatCode>
                  <c:ptCount val="1"/>
                  <c:pt idx="0">
                    <c:v>8.3434798780127277</c:v>
                  </c:pt>
                </c:numCache>
              </c:numRef>
            </c:minus>
          </c:errBars>
          <c:xVal>
            <c:numRef>
              <c:f>'Mean model for X1'!$A$51:$A$51</c:f>
              <c:numCache>
                <c:formatCode>0</c:formatCode>
                <c:ptCount val="1"/>
                <c:pt idx="0">
                  <c:v>31</c:v>
                </c:pt>
              </c:numCache>
            </c:numRef>
          </c:xVal>
          <c:yVal>
            <c:numRef>
              <c:f>'Mean model for X1'!$B$51:$B$51</c:f>
              <c:numCache>
                <c:formatCode>#,##0.000</c:formatCode>
                <c:ptCount val="1"/>
                <c:pt idx="0">
                  <c:v>38.5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24584"/>
        <c:axId val="734325760"/>
      </c:scatterChart>
      <c:valAx>
        <c:axId val="73432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34325760"/>
        <c:crossesAt val="10"/>
        <c:crossBetween val="midCat"/>
      </c:valAx>
      <c:valAx>
        <c:axId val="73432576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4324584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Observation #
</a:t>
            </a:r>
            <a:r>
              <a:rPr lang="en-US" sz="1000"/>
              <a:t>Mean model for X1_    (0 variables,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Lit>
              <c:formatCode>General</c:formatCode>
              <c:ptCount val="30"/>
              <c:pt idx="0">
                <c:v>-13.5</c:v>
              </c:pt>
              <c:pt idx="1">
                <c:v>3.5</c:v>
              </c:pt>
              <c:pt idx="2">
                <c:v>15.5</c:v>
              </c:pt>
              <c:pt idx="3">
                <c:v>-12.5</c:v>
              </c:pt>
              <c:pt idx="4">
                <c:v>0.5</c:v>
              </c:pt>
              <c:pt idx="5">
                <c:v>-4.5</c:v>
              </c:pt>
              <c:pt idx="6">
                <c:v>-14.5</c:v>
              </c:pt>
              <c:pt idx="7">
                <c:v>-1.5</c:v>
              </c:pt>
              <c:pt idx="8">
                <c:v>-15.5</c:v>
              </c:pt>
              <c:pt idx="9">
                <c:v>1.5</c:v>
              </c:pt>
              <c:pt idx="10">
                <c:v>-8.5</c:v>
              </c:pt>
              <c:pt idx="11">
                <c:v>-23.5</c:v>
              </c:pt>
              <c:pt idx="12">
                <c:v>-15.5</c:v>
              </c:pt>
              <c:pt idx="13">
                <c:v>1.5</c:v>
              </c:pt>
              <c:pt idx="14">
                <c:v>-6.5</c:v>
              </c:pt>
              <c:pt idx="15">
                <c:v>7.5</c:v>
              </c:pt>
              <c:pt idx="16">
                <c:v>11.5</c:v>
              </c:pt>
              <c:pt idx="17">
                <c:v>-12.5</c:v>
              </c:pt>
              <c:pt idx="18">
                <c:v>5.5</c:v>
              </c:pt>
              <c:pt idx="19">
                <c:v>19.5</c:v>
              </c:pt>
              <c:pt idx="20">
                <c:v>9.5</c:v>
              </c:pt>
              <c:pt idx="21">
                <c:v>7.5</c:v>
              </c:pt>
              <c:pt idx="22">
                <c:v>-2.5</c:v>
              </c:pt>
              <c:pt idx="23">
                <c:v>16.5</c:v>
              </c:pt>
              <c:pt idx="24">
                <c:v>16.5</c:v>
              </c:pt>
              <c:pt idx="25">
                <c:v>2.5</c:v>
              </c:pt>
              <c:pt idx="26">
                <c:v>-3.5</c:v>
              </c:pt>
              <c:pt idx="27">
                <c:v>25.5</c:v>
              </c:pt>
              <c:pt idx="28">
                <c:v>-0.5</c:v>
              </c:pt>
              <c:pt idx="29">
                <c:v>-9.5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4326544"/>
        <c:axId val="734330856"/>
      </c:barChart>
      <c:catAx>
        <c:axId val="7343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34330856"/>
        <c:crossesAt val="0"/>
        <c:auto val="1"/>
        <c:lblAlgn val="ctr"/>
        <c:lblOffset val="100"/>
        <c:noMultiLvlLbl val="0"/>
      </c:catAx>
      <c:valAx>
        <c:axId val="7343308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32654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Mean model for X1_    (0 variables,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  <a:effectLst/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38.5</c:v>
              </c:pt>
              <c:pt idx="1">
                <c:v>38.5</c:v>
              </c:pt>
              <c:pt idx="2">
                <c:v>38.5</c:v>
              </c:pt>
              <c:pt idx="3">
                <c:v>38.5</c:v>
              </c:pt>
              <c:pt idx="4">
                <c:v>38.5</c:v>
              </c:pt>
              <c:pt idx="5">
                <c:v>38.5</c:v>
              </c:pt>
              <c:pt idx="6">
                <c:v>38.5</c:v>
              </c:pt>
              <c:pt idx="7">
                <c:v>38.5</c:v>
              </c:pt>
              <c:pt idx="8">
                <c:v>38.5</c:v>
              </c:pt>
              <c:pt idx="9">
                <c:v>38.5</c:v>
              </c:pt>
              <c:pt idx="10">
                <c:v>38.5</c:v>
              </c:pt>
              <c:pt idx="11">
                <c:v>38.5</c:v>
              </c:pt>
              <c:pt idx="12">
                <c:v>38.5</c:v>
              </c:pt>
              <c:pt idx="13">
                <c:v>38.5</c:v>
              </c:pt>
              <c:pt idx="14">
                <c:v>38.5</c:v>
              </c:pt>
              <c:pt idx="15">
                <c:v>38.5</c:v>
              </c:pt>
              <c:pt idx="16">
                <c:v>38.5</c:v>
              </c:pt>
              <c:pt idx="17">
                <c:v>38.5</c:v>
              </c:pt>
              <c:pt idx="18">
                <c:v>38.5</c:v>
              </c:pt>
              <c:pt idx="19">
                <c:v>38.5</c:v>
              </c:pt>
              <c:pt idx="20">
                <c:v>38.5</c:v>
              </c:pt>
              <c:pt idx="21">
                <c:v>38.5</c:v>
              </c:pt>
              <c:pt idx="22">
                <c:v>38.5</c:v>
              </c:pt>
              <c:pt idx="23">
                <c:v>38.5</c:v>
              </c:pt>
              <c:pt idx="24">
                <c:v>38.5</c:v>
              </c:pt>
              <c:pt idx="25">
                <c:v>38.5</c:v>
              </c:pt>
              <c:pt idx="26">
                <c:v>38.5</c:v>
              </c:pt>
              <c:pt idx="27">
                <c:v>38.5</c:v>
              </c:pt>
              <c:pt idx="28">
                <c:v>38.5</c:v>
              </c:pt>
              <c:pt idx="29">
                <c:v>38.5</c:v>
              </c:pt>
            </c:numLit>
          </c:xVal>
          <c:yVal>
            <c:numLit>
              <c:formatCode>General</c:formatCode>
              <c:ptCount val="30"/>
              <c:pt idx="0">
                <c:v>-13.5</c:v>
              </c:pt>
              <c:pt idx="1">
                <c:v>3.5</c:v>
              </c:pt>
              <c:pt idx="2">
                <c:v>15.5</c:v>
              </c:pt>
              <c:pt idx="3">
                <c:v>-12.5</c:v>
              </c:pt>
              <c:pt idx="4">
                <c:v>0.5</c:v>
              </c:pt>
              <c:pt idx="5">
                <c:v>-4.5</c:v>
              </c:pt>
              <c:pt idx="6">
                <c:v>-14.5</c:v>
              </c:pt>
              <c:pt idx="7">
                <c:v>-1.5</c:v>
              </c:pt>
              <c:pt idx="8">
                <c:v>-15.5</c:v>
              </c:pt>
              <c:pt idx="9">
                <c:v>1.5</c:v>
              </c:pt>
              <c:pt idx="10">
                <c:v>-8.5</c:v>
              </c:pt>
              <c:pt idx="11">
                <c:v>-23.5</c:v>
              </c:pt>
              <c:pt idx="12">
                <c:v>-15.5</c:v>
              </c:pt>
              <c:pt idx="13">
                <c:v>1.5</c:v>
              </c:pt>
              <c:pt idx="14">
                <c:v>-6.5</c:v>
              </c:pt>
              <c:pt idx="15">
                <c:v>7.5</c:v>
              </c:pt>
              <c:pt idx="16">
                <c:v>11.5</c:v>
              </c:pt>
              <c:pt idx="17">
                <c:v>-12.5</c:v>
              </c:pt>
              <c:pt idx="18">
                <c:v>5.5</c:v>
              </c:pt>
              <c:pt idx="19">
                <c:v>19.5</c:v>
              </c:pt>
              <c:pt idx="20">
                <c:v>9.5</c:v>
              </c:pt>
              <c:pt idx="21">
                <c:v>7.5</c:v>
              </c:pt>
              <c:pt idx="22">
                <c:v>-2.5</c:v>
              </c:pt>
              <c:pt idx="23">
                <c:v>16.5</c:v>
              </c:pt>
              <c:pt idx="24">
                <c:v>16.5</c:v>
              </c:pt>
              <c:pt idx="25">
                <c:v>2.5</c:v>
              </c:pt>
              <c:pt idx="26">
                <c:v>-3.5</c:v>
              </c:pt>
              <c:pt idx="27">
                <c:v>25.5</c:v>
              </c:pt>
              <c:pt idx="28">
                <c:v>-0.5</c:v>
              </c:pt>
              <c:pt idx="29">
                <c:v>-9.5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35696"/>
        <c:axId val="735782216"/>
      </c:scatterChart>
      <c:valAx>
        <c:axId val="74113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782216"/>
        <c:crossesAt val="-30"/>
        <c:crossBetween val="midCat"/>
      </c:valAx>
      <c:valAx>
        <c:axId val="735782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356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Mean model for X1_    (0 variables, n=30)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Lit>
              <c:ptCount val="11"/>
              <c:pt idx="0">
                <c:v>-26.0</c:v>
              </c:pt>
              <c:pt idx="1">
                <c:v>-20.8</c:v>
              </c:pt>
              <c:pt idx="2">
                <c:v>-15.6</c:v>
              </c:pt>
              <c:pt idx="3">
                <c:v>-10.4</c:v>
              </c:pt>
              <c:pt idx="4">
                <c:v>-5.2</c:v>
              </c:pt>
              <c:pt idx="5">
                <c:v>0.0</c:v>
              </c:pt>
              <c:pt idx="6">
                <c:v>5.2</c:v>
              </c:pt>
              <c:pt idx="7">
                <c:v>10.4</c:v>
              </c:pt>
              <c:pt idx="8">
                <c:v>15.6</c:v>
              </c:pt>
              <c:pt idx="9">
                <c:v>20.8</c:v>
              </c:pt>
              <c:pt idx="10">
                <c:v>26.0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4</c:v>
              </c:pt>
              <c:pt idx="4">
                <c:v>3</c:v>
              </c:pt>
              <c:pt idx="5">
                <c:v>7</c:v>
              </c:pt>
              <c:pt idx="6">
                <c:v>4</c:v>
              </c:pt>
              <c:pt idx="7">
                <c:v>2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9525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-26.0</c:v>
              </c:pt>
              <c:pt idx="1">
                <c:v>-20.8</c:v>
              </c:pt>
              <c:pt idx="2">
                <c:v>-15.6</c:v>
              </c:pt>
              <c:pt idx="3">
                <c:v>-10.4</c:v>
              </c:pt>
              <c:pt idx="4">
                <c:v>-5.2</c:v>
              </c:pt>
              <c:pt idx="5">
                <c:v>0.0</c:v>
              </c:pt>
              <c:pt idx="6">
                <c:v>5.2</c:v>
              </c:pt>
              <c:pt idx="7">
                <c:v>10.4</c:v>
              </c:pt>
              <c:pt idx="8">
                <c:v>15.6</c:v>
              </c:pt>
              <c:pt idx="9">
                <c:v>20.8</c:v>
              </c:pt>
              <c:pt idx="10">
                <c:v>26.0</c:v>
              </c:pt>
            </c:strLit>
          </c:cat>
          <c:val>
            <c:numLit>
              <c:formatCode>General</c:formatCode>
              <c:ptCount val="11"/>
              <c:pt idx="0">
                <c:v>0.51279636806278006</c:v>
              </c:pt>
              <c:pt idx="1">
                <c:v>1.1757271862261747</c:v>
              </c:pt>
              <c:pt idx="2">
                <c:v>2.2416508467500149</c:v>
              </c:pt>
              <c:pt idx="3">
                <c:v>3.5542169418773515</c:v>
              </c:pt>
              <c:pt idx="4">
                <c:v>4.686462786030182</c:v>
              </c:pt>
              <c:pt idx="5">
                <c:v>5.1389949728582422</c:v>
              </c:pt>
              <c:pt idx="6">
                <c:v>4.6864627860301837</c:v>
              </c:pt>
              <c:pt idx="7">
                <c:v>3.5542169418773497</c:v>
              </c:pt>
              <c:pt idx="8">
                <c:v>2.2416508467500122</c:v>
              </c:pt>
              <c:pt idx="9">
                <c:v>1.175727186226176</c:v>
              </c:pt>
              <c:pt idx="10">
                <c:v>0.51279636806278006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1138048"/>
        <c:axId val="741138440"/>
      </c:barChart>
      <c:catAx>
        <c:axId val="7411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0.196 (P=0.89)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38440"/>
        <c:crosses val="autoZero"/>
        <c:auto val="1"/>
        <c:lblAlgn val="ctr"/>
        <c:lblOffset val="100"/>
        <c:noMultiLvlLbl val="0"/>
      </c:catAx>
      <c:valAx>
        <c:axId val="7411384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380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Mean model for X1_    (0 variables, n=30)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-1.9556424298508188</c:v>
              </c:pt>
              <c:pt idx="1">
                <c:v>-1.2898918154335188</c:v>
              </c:pt>
              <c:pt idx="2">
                <c:v>-1.2898918154335188</c:v>
              </c:pt>
              <c:pt idx="3">
                <c:v>-1.2066729886313563</c:v>
              </c:pt>
              <c:pt idx="4">
                <c:v>-1.1234541618291938</c:v>
              </c:pt>
              <c:pt idx="5">
                <c:v>-1.0402353350270312</c:v>
              </c:pt>
              <c:pt idx="6">
                <c:v>-1.0402353350270312</c:v>
              </c:pt>
              <c:pt idx="7">
                <c:v>-0.79057885462054378</c:v>
              </c:pt>
              <c:pt idx="8">
                <c:v>-0.70736002781838125</c:v>
              </c:pt>
              <c:pt idx="9">
                <c:v>-0.5409223742140562</c:v>
              </c:pt>
              <c:pt idx="10">
                <c:v>-0.37448472060973126</c:v>
              </c:pt>
              <c:pt idx="11">
                <c:v>-0.29126589380756873</c:v>
              </c:pt>
              <c:pt idx="12">
                <c:v>-0.20804706700540626</c:v>
              </c:pt>
              <c:pt idx="13">
                <c:v>-0.12482824020324375</c:v>
              </c:pt>
              <c:pt idx="14">
                <c:v>-4.1609413401081249E-2</c:v>
              </c:pt>
              <c:pt idx="15">
                <c:v>4.1609413401081249E-2</c:v>
              </c:pt>
              <c:pt idx="16">
                <c:v>0.12482824020324375</c:v>
              </c:pt>
              <c:pt idx="17">
                <c:v>0.12482824020324375</c:v>
              </c:pt>
              <c:pt idx="18">
                <c:v>0.20804706700540626</c:v>
              </c:pt>
              <c:pt idx="19">
                <c:v>0.29126589380756873</c:v>
              </c:pt>
              <c:pt idx="20">
                <c:v>0.45770354741189373</c:v>
              </c:pt>
              <c:pt idx="21">
                <c:v>0.62414120101621873</c:v>
              </c:pt>
              <c:pt idx="22">
                <c:v>0.62414120101621873</c:v>
              </c:pt>
              <c:pt idx="23">
                <c:v>0.79057885462054378</c:v>
              </c:pt>
              <c:pt idx="24">
                <c:v>0.95701650822486872</c:v>
              </c:pt>
              <c:pt idx="25">
                <c:v>1.2898918154335188</c:v>
              </c:pt>
              <c:pt idx="26">
                <c:v>1.3731106422356811</c:v>
              </c:pt>
              <c:pt idx="27">
                <c:v>1.3731106422356811</c:v>
              </c:pt>
              <c:pt idx="28">
                <c:v>1.6227671226421687</c:v>
              </c:pt>
              <c:pt idx="29">
                <c:v>2.1220800834551437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39616"/>
        <c:axId val="741140792"/>
      </c:scatterChart>
      <c:valAx>
        <c:axId val="7411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0.196 (P=0.89)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40792"/>
        <c:crosses val="autoZero"/>
        <c:crossBetween val="midCat"/>
      </c:valAx>
      <c:valAx>
        <c:axId val="74114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13961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Linear trend model for X1_    (1 variable, n=30)
Predicted X1_ = 30.503 + 0.516*T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40472"/>
        <c:axId val="735842040"/>
      </c:scatterChart>
      <c:scatterChart>
        <c:scatterStyle val="lineMarker"/>
        <c:varyColors val="0"/>
        <c:ser>
          <c:idx val="1"/>
          <c:order val="1"/>
          <c:tx>
            <c:strRef>
              <c:f>'Linear trend model for X1'!$G$25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'Linear trend model for X1'!$B$26:$B$30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X1'!$G$26:$G$30</c:f>
              <c:numCache>
                <c:formatCode>#,##0.000</c:formatCode>
                <c:ptCount val="5"/>
                <c:pt idx="0">
                  <c:v>55.638994701907862</c:v>
                </c:pt>
                <c:pt idx="1">
                  <c:v>58.600573828499009</c:v>
                </c:pt>
                <c:pt idx="2">
                  <c:v>62.075599669804063</c:v>
                </c:pt>
                <c:pt idx="3">
                  <c:v>66.081218989789335</c:v>
                </c:pt>
                <c:pt idx="4">
                  <c:v>70.6002850244885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'Linear trend model for X1'!$E$25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'Linear trend model for X1'!$B$26:$B$30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X1'!$E$26:$E$30</c:f>
              <c:numCache>
                <c:formatCode>#,##0.000</c:formatCode>
                <c:ptCount val="5"/>
                <c:pt idx="0">
                  <c:v>31.01935483870971</c:v>
                </c:pt>
                <c:pt idx="1">
                  <c:v>34.759677419354865</c:v>
                </c:pt>
                <c:pt idx="2">
                  <c:v>38.500000000000028</c:v>
                </c:pt>
                <c:pt idx="3">
                  <c:v>42.240322580645184</c:v>
                </c:pt>
                <c:pt idx="4">
                  <c:v>45.98064516129034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'Linear trend model for X1'!$F$25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'Linear trend model for X1'!$B$26:$B$30</c:f>
              <c:numCache>
                <c:formatCode>#,##0.000</c:formatCode>
                <c:ptCount val="5"/>
                <c:pt idx="0">
                  <c:v>1</c:v>
                </c:pt>
                <c:pt idx="1">
                  <c:v>8.25</c:v>
                </c:pt>
                <c:pt idx="2">
                  <c:v>15.5</c:v>
                </c:pt>
                <c:pt idx="3">
                  <c:v>22.75</c:v>
                </c:pt>
                <c:pt idx="4">
                  <c:v>30</c:v>
                </c:pt>
              </c:numCache>
            </c:numRef>
          </c:xVal>
          <c:yVal>
            <c:numRef>
              <c:f>'Linear trend model for X1'!$F$26:$F$30</c:f>
              <c:numCache>
                <c:formatCode>#,##0.000</c:formatCode>
                <c:ptCount val="5"/>
                <c:pt idx="0">
                  <c:v>6.3997149755115572</c:v>
                </c:pt>
                <c:pt idx="1">
                  <c:v>10.918781010210719</c:v>
                </c:pt>
                <c:pt idx="2">
                  <c:v>14.92440033019599</c:v>
                </c:pt>
                <c:pt idx="3">
                  <c:v>18.399426171501037</c:v>
                </c:pt>
                <c:pt idx="4">
                  <c:v>21.361005298092188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41648"/>
        <c:axId val="735840864"/>
      </c:scatterChart>
      <c:valAx>
        <c:axId val="735840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842040"/>
        <c:crossesAt val="0"/>
        <c:crossBetween val="midCat"/>
      </c:valAx>
      <c:valAx>
        <c:axId val="7358420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5840472"/>
        <c:crossesAt val="0"/>
        <c:crossBetween val="midCat"/>
      </c:valAx>
      <c:valAx>
        <c:axId val="735840864"/>
        <c:scaling>
          <c:orientation val="minMax"/>
          <c:min val="0"/>
        </c:scaling>
        <c:delete val="1"/>
        <c:axPos val="r"/>
        <c:numFmt formatCode="#,##0.000" sourceLinked="1"/>
        <c:majorTickMark val="out"/>
        <c:minorTickMark val="none"/>
        <c:tickLblPos val="nextTo"/>
        <c:crossAx val="735841648"/>
        <c:crosses val="max"/>
        <c:crossBetween val="midCat"/>
      </c:valAx>
      <c:valAx>
        <c:axId val="735841648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735840864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'Linear trend model for X1'!$AA$2</c:f>
          <c:strCache>
            <c:ptCount val="1"/>
            <c:pt idx="0">
              <c:v>Forecasts and 95.0% confidence limits for means and forecasts
Linear trend model for X1_    (1 variable, n=30)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'Linear trend model for X1'!$CG$52</c:f>
                <c:numCache>
                  <c:formatCode>General</c:formatCode>
                  <c:ptCount val="1"/>
                  <c:pt idx="0">
                    <c:v>24.765023161366575</c:v>
                  </c:pt>
                </c:numCache>
              </c:numRef>
            </c:plus>
            <c:minus>
              <c:numRef>
                <c:f>'Linear trend model for X1'!$CG$52</c:f>
                <c:numCache>
                  <c:formatCode>General</c:formatCode>
                  <c:ptCount val="1"/>
                  <c:pt idx="0">
                    <c:v>24.765023161366575</c:v>
                  </c:pt>
                </c:numCache>
              </c:numRef>
            </c:minus>
          </c:errBars>
          <c:cat>
            <c:numRef>
              <c:f>'Linear trend model for X1'!$A$52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X1'!$B$52</c:f>
              <c:numCache>
                <c:formatCode>#,##0.000</c:formatCode>
                <c:ptCount val="1"/>
                <c:pt idx="0">
                  <c:v>46.496551724137902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'Linear trend model for X1'!$H$51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numRef>
              <c:f>'Linear trend model for X1'!$A$52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X1'!$H$52</c:f>
              <c:numCache>
                <c:formatCode>0.000</c:formatCode>
                <c:ptCount val="1"/>
                <c:pt idx="0">
                  <c:v>55.181411638969621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'Linear trend model for X1'!$G$51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cat>
            <c:numRef>
              <c:f>'Linear trend model for X1'!$A$52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'Linear trend model for X1'!$G$52</c:f>
              <c:numCache>
                <c:formatCode>0.000</c:formatCode>
                <c:ptCount val="1"/>
                <c:pt idx="0">
                  <c:v>37.811691809306183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44784"/>
        <c:axId val="735845176"/>
      </c:lineChart>
      <c:catAx>
        <c:axId val="7358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35845176"/>
        <c:crossesAt val="20"/>
        <c:auto val="1"/>
        <c:lblAlgn val="ctr"/>
        <c:lblOffset val="100"/>
        <c:noMultiLvlLbl val="0"/>
      </c:catAx>
      <c:valAx>
        <c:axId val="73584517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358447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22</xdr:row>
      <xdr:rowOff>127000</xdr:rowOff>
    </xdr:from>
    <xdr:to>
      <xdr:col>8</xdr:col>
      <xdr:colOff>479425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51</xdr:row>
      <xdr:rowOff>127000</xdr:rowOff>
    </xdr:from>
    <xdr:to>
      <xdr:col>8</xdr:col>
      <xdr:colOff>479425</xdr:colOff>
      <xdr:row>69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77</xdr:row>
      <xdr:rowOff>127000</xdr:rowOff>
    </xdr:from>
    <xdr:to>
      <xdr:col>8</xdr:col>
      <xdr:colOff>479425</xdr:colOff>
      <xdr:row>95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99</xdr:row>
      <xdr:rowOff>127000</xdr:rowOff>
    </xdr:from>
    <xdr:to>
      <xdr:col>8</xdr:col>
      <xdr:colOff>479425</xdr:colOff>
      <xdr:row>117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121</xdr:row>
      <xdr:rowOff>127000</xdr:rowOff>
    </xdr:from>
    <xdr:to>
      <xdr:col>8</xdr:col>
      <xdr:colOff>479425</xdr:colOff>
      <xdr:row>139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143</xdr:row>
      <xdr:rowOff>127000</xdr:rowOff>
    </xdr:from>
    <xdr:to>
      <xdr:col>8</xdr:col>
      <xdr:colOff>479425</xdr:colOff>
      <xdr:row>161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165</xdr:row>
      <xdr:rowOff>127000</xdr:rowOff>
    </xdr:from>
    <xdr:to>
      <xdr:col>8</xdr:col>
      <xdr:colOff>479425</xdr:colOff>
      <xdr:row>183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479425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52</xdr:row>
      <xdr:rowOff>127000</xdr:rowOff>
    </xdr:from>
    <xdr:to>
      <xdr:col>8</xdr:col>
      <xdr:colOff>479425</xdr:colOff>
      <xdr:row>70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78</xdr:row>
      <xdr:rowOff>127000</xdr:rowOff>
    </xdr:from>
    <xdr:to>
      <xdr:col>8</xdr:col>
      <xdr:colOff>479425</xdr:colOff>
      <xdr:row>96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100</xdr:row>
      <xdr:rowOff>127000</xdr:rowOff>
    </xdr:from>
    <xdr:to>
      <xdr:col>8</xdr:col>
      <xdr:colOff>479425</xdr:colOff>
      <xdr:row>118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122</xdr:row>
      <xdr:rowOff>127000</xdr:rowOff>
    </xdr:from>
    <xdr:to>
      <xdr:col>8</xdr:col>
      <xdr:colOff>479425</xdr:colOff>
      <xdr:row>140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144</xdr:row>
      <xdr:rowOff>127000</xdr:rowOff>
    </xdr:from>
    <xdr:to>
      <xdr:col>8</xdr:col>
      <xdr:colOff>479425</xdr:colOff>
      <xdr:row>162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166</xdr:row>
      <xdr:rowOff>127000</xdr:rowOff>
    </xdr:from>
    <xdr:to>
      <xdr:col>8</xdr:col>
      <xdr:colOff>479425</xdr:colOff>
      <xdr:row>184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479425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52</xdr:row>
      <xdr:rowOff>127000</xdr:rowOff>
    </xdr:from>
    <xdr:to>
      <xdr:col>8</xdr:col>
      <xdr:colOff>479425</xdr:colOff>
      <xdr:row>70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78</xdr:row>
      <xdr:rowOff>127000</xdr:rowOff>
    </xdr:from>
    <xdr:to>
      <xdr:col>8</xdr:col>
      <xdr:colOff>479425</xdr:colOff>
      <xdr:row>96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100</xdr:row>
      <xdr:rowOff>127000</xdr:rowOff>
    </xdr:from>
    <xdr:to>
      <xdr:col>8</xdr:col>
      <xdr:colOff>479425</xdr:colOff>
      <xdr:row>118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122</xdr:row>
      <xdr:rowOff>127000</xdr:rowOff>
    </xdr:from>
    <xdr:to>
      <xdr:col>8</xdr:col>
      <xdr:colOff>479425</xdr:colOff>
      <xdr:row>140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144</xdr:row>
      <xdr:rowOff>127000</xdr:rowOff>
    </xdr:from>
    <xdr:to>
      <xdr:col>8</xdr:col>
      <xdr:colOff>479425</xdr:colOff>
      <xdr:row>162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166</xdr:row>
      <xdr:rowOff>127000</xdr:rowOff>
    </xdr:from>
    <xdr:to>
      <xdr:col>8</xdr:col>
      <xdr:colOff>479425</xdr:colOff>
      <xdr:row>184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gressit.com/" TargetMode="External"/><Relationship Id="rId2" Type="http://schemas.openxmlformats.org/officeDocument/2006/relationships/hyperlink" Target="http://people.duke.edu/~rnau/411mean.htm" TargetMode="External"/><Relationship Id="rId1" Type="http://schemas.openxmlformats.org/officeDocument/2006/relationships/hyperlink" Target="http://people.duke.edu/~rnau/411trend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98</v>
      </c>
    </row>
    <row r="2" spans="1:6" x14ac:dyDescent="0.25">
      <c r="A2">
        <v>1</v>
      </c>
      <c r="B2">
        <v>25</v>
      </c>
      <c r="C2">
        <v>20</v>
      </c>
      <c r="F2" s="23" t="s">
        <v>97</v>
      </c>
    </row>
    <row r="3" spans="1:6" x14ac:dyDescent="0.25">
      <c r="A3">
        <v>2</v>
      </c>
      <c r="B3">
        <v>42</v>
      </c>
      <c r="C3">
        <v>19</v>
      </c>
      <c r="F3" s="23" t="s">
        <v>96</v>
      </c>
    </row>
    <row r="4" spans="1:6" x14ac:dyDescent="0.25">
      <c r="A4">
        <v>3</v>
      </c>
      <c r="B4">
        <v>54</v>
      </c>
      <c r="C4">
        <v>21</v>
      </c>
    </row>
    <row r="5" spans="1:6" x14ac:dyDescent="0.25">
      <c r="A5">
        <v>4</v>
      </c>
      <c r="B5">
        <v>26</v>
      </c>
      <c r="C5">
        <v>18</v>
      </c>
      <c r="E5" t="s">
        <v>99</v>
      </c>
    </row>
    <row r="6" spans="1:6" x14ac:dyDescent="0.25">
      <c r="A6">
        <v>5</v>
      </c>
      <c r="B6">
        <v>39</v>
      </c>
      <c r="C6">
        <v>18</v>
      </c>
      <c r="F6" s="23" t="s">
        <v>100</v>
      </c>
    </row>
    <row r="7" spans="1:6" x14ac:dyDescent="0.25">
      <c r="A7">
        <v>6</v>
      </c>
      <c r="B7">
        <v>34</v>
      </c>
      <c r="C7">
        <v>21</v>
      </c>
    </row>
    <row r="8" spans="1:6" x14ac:dyDescent="0.25">
      <c r="A8">
        <v>7</v>
      </c>
      <c r="B8">
        <v>24</v>
      </c>
      <c r="C8">
        <v>22</v>
      </c>
    </row>
    <row r="9" spans="1:6" x14ac:dyDescent="0.25">
      <c r="A9">
        <v>8</v>
      </c>
      <c r="B9">
        <v>37</v>
      </c>
      <c r="C9">
        <v>23</v>
      </c>
    </row>
    <row r="10" spans="1:6" x14ac:dyDescent="0.25">
      <c r="A10">
        <v>9</v>
      </c>
      <c r="B10">
        <v>23</v>
      </c>
      <c r="C10">
        <v>22</v>
      </c>
    </row>
    <row r="11" spans="1:6" x14ac:dyDescent="0.25">
      <c r="A11">
        <v>10</v>
      </c>
      <c r="B11">
        <v>40</v>
      </c>
      <c r="C11">
        <v>22</v>
      </c>
    </row>
    <row r="12" spans="1:6" x14ac:dyDescent="0.25">
      <c r="A12">
        <v>11</v>
      </c>
      <c r="B12">
        <v>30</v>
      </c>
      <c r="C12">
        <v>26</v>
      </c>
    </row>
    <row r="13" spans="1:6" x14ac:dyDescent="0.25">
      <c r="A13">
        <v>12</v>
      </c>
      <c r="B13">
        <v>15</v>
      </c>
      <c r="C13">
        <v>24</v>
      </c>
    </row>
    <row r="14" spans="1:6" x14ac:dyDescent="0.25">
      <c r="A14">
        <v>13</v>
      </c>
      <c r="B14">
        <v>23</v>
      </c>
      <c r="C14">
        <v>23</v>
      </c>
    </row>
    <row r="15" spans="1:6" x14ac:dyDescent="0.25">
      <c r="A15">
        <v>14</v>
      </c>
      <c r="B15">
        <v>40</v>
      </c>
      <c r="C15">
        <v>23</v>
      </c>
    </row>
    <row r="16" spans="1:6" x14ac:dyDescent="0.25">
      <c r="A16">
        <v>15</v>
      </c>
      <c r="B16">
        <v>32</v>
      </c>
      <c r="C16">
        <v>25</v>
      </c>
    </row>
    <row r="17" spans="1:3" x14ac:dyDescent="0.25">
      <c r="A17">
        <v>16</v>
      </c>
      <c r="B17">
        <v>46</v>
      </c>
      <c r="C17">
        <v>27</v>
      </c>
    </row>
    <row r="18" spans="1:3" x14ac:dyDescent="0.25">
      <c r="A18">
        <v>17</v>
      </c>
      <c r="B18">
        <v>50</v>
      </c>
      <c r="C18">
        <v>28</v>
      </c>
    </row>
    <row r="19" spans="1:3" x14ac:dyDescent="0.25">
      <c r="A19">
        <v>18</v>
      </c>
      <c r="B19">
        <v>26</v>
      </c>
      <c r="C19">
        <v>28</v>
      </c>
    </row>
    <row r="20" spans="1:3" x14ac:dyDescent="0.25">
      <c r="A20">
        <v>19</v>
      </c>
      <c r="B20">
        <v>44</v>
      </c>
      <c r="C20">
        <v>29</v>
      </c>
    </row>
    <row r="21" spans="1:3" x14ac:dyDescent="0.25">
      <c r="A21">
        <v>20</v>
      </c>
      <c r="B21">
        <v>58</v>
      </c>
      <c r="C21">
        <v>29</v>
      </c>
    </row>
    <row r="22" spans="1:3" x14ac:dyDescent="0.25">
      <c r="A22">
        <v>21</v>
      </c>
      <c r="B22">
        <v>48</v>
      </c>
      <c r="C22">
        <v>31</v>
      </c>
    </row>
    <row r="23" spans="1:3" x14ac:dyDescent="0.25">
      <c r="A23">
        <v>22</v>
      </c>
      <c r="B23">
        <v>46</v>
      </c>
      <c r="C23">
        <v>35</v>
      </c>
    </row>
    <row r="24" spans="1:3" x14ac:dyDescent="0.25">
      <c r="A24">
        <v>23</v>
      </c>
      <c r="B24">
        <v>36</v>
      </c>
      <c r="C24">
        <v>36</v>
      </c>
    </row>
    <row r="25" spans="1:3" x14ac:dyDescent="0.25">
      <c r="A25">
        <v>24</v>
      </c>
      <c r="B25">
        <v>55</v>
      </c>
      <c r="C25">
        <v>37</v>
      </c>
    </row>
    <row r="26" spans="1:3" x14ac:dyDescent="0.25">
      <c r="A26">
        <v>25</v>
      </c>
      <c r="B26">
        <v>55</v>
      </c>
      <c r="C26">
        <v>37</v>
      </c>
    </row>
    <row r="27" spans="1:3" x14ac:dyDescent="0.25">
      <c r="A27">
        <v>26</v>
      </c>
      <c r="B27">
        <v>41</v>
      </c>
      <c r="C27">
        <v>37</v>
      </c>
    </row>
    <row r="28" spans="1:3" x14ac:dyDescent="0.25">
      <c r="A28">
        <v>27</v>
      </c>
      <c r="B28">
        <v>35</v>
      </c>
      <c r="C28">
        <v>41</v>
      </c>
    </row>
    <row r="29" spans="1:3" x14ac:dyDescent="0.25">
      <c r="A29">
        <v>28</v>
      </c>
      <c r="B29">
        <v>64</v>
      </c>
      <c r="C29">
        <v>42</v>
      </c>
    </row>
    <row r="30" spans="1:3" x14ac:dyDescent="0.25">
      <c r="A30">
        <v>29</v>
      </c>
      <c r="B30">
        <v>38</v>
      </c>
      <c r="C30">
        <v>41</v>
      </c>
    </row>
    <row r="31" spans="1:3" x14ac:dyDescent="0.25">
      <c r="A31">
        <v>30</v>
      </c>
      <c r="B31">
        <v>29</v>
      </c>
      <c r="C31">
        <v>44</v>
      </c>
    </row>
    <row r="32" spans="1:3" x14ac:dyDescent="0.25">
      <c r="A32">
        <v>31</v>
      </c>
    </row>
  </sheetData>
  <hyperlinks>
    <hyperlink ref="F3" r:id="rId1"/>
    <hyperlink ref="F2" r:id="rId2"/>
    <hyperlink ref="F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19"/>
  <sheetViews>
    <sheetView showGridLines="0" showRowColHeaders="0" workbookViewId="0">
      <selection activeCell="B1" sqref="B1"/>
    </sheetView>
  </sheetViews>
  <sheetFormatPr defaultRowHeight="11.25" outlineLevelRow="1" x14ac:dyDescent="0.2"/>
  <cols>
    <col min="1" max="1" width="8.85546875" style="1" customWidth="1"/>
    <col min="2" max="7" width="9.140625" style="1"/>
    <col min="8" max="8" width="9.28515625" style="1" bestFit="1" customWidth="1"/>
    <col min="9" max="77" width="9.140625" style="1"/>
    <col min="78" max="78" width="33.28515625" style="1" bestFit="1" customWidth="1"/>
    <col min="79" max="16384" width="9.140625" style="1"/>
  </cols>
  <sheetData>
    <row r="1" spans="1:78" ht="15" x14ac:dyDescent="0.25">
      <c r="A1" s="2" t="s">
        <v>3</v>
      </c>
      <c r="B1" s="1" t="s">
        <v>4</v>
      </c>
      <c r="E1"/>
      <c r="Z1" s="15" t="s">
        <v>5</v>
      </c>
      <c r="BZ1"/>
    </row>
    <row r="2" spans="1:78" x14ac:dyDescent="0.2">
      <c r="A2" s="2" t="s">
        <v>6</v>
      </c>
      <c r="C2" s="1" t="s">
        <v>7</v>
      </c>
      <c r="AA2" s="15" t="str">
        <f>"Forecasts and " &amp; TEXT($I$10, "0.0%") &amp; " confidence limits for means and forecasts
Mean model for X1_    (0 variables, n=30)"</f>
        <v>Forecasts and 50.0% confidence limits for means and forecasts
Mean model for X1_    (0 variables, n=30)</v>
      </c>
    </row>
    <row r="3" spans="1:78" ht="11.25" hidden="1" customHeight="1" outlineLevel="1" x14ac:dyDescent="0.2">
      <c r="A3" s="2" t="s">
        <v>8</v>
      </c>
      <c r="AA3" s="15" t="str">
        <f>IF($A$51 &lt;&gt; "","Actual and predicted -vs- Observation # with " &amp; TEXT($I$10, "0.0%") &amp; " confidence limits
Mean model for X1_    (0 variables, n=30)","Actual and predicted -vs- Observation #
Mean model for X1_    (0 variables, n=30)")</f>
        <v>Actual and predicted -vs- Observation # with 50.0% confidence limits
Mean model for X1_    (0 variables, n=30)</v>
      </c>
    </row>
    <row r="4" spans="1:78" hidden="1" outlineLevel="1" x14ac:dyDescent="0.2">
      <c r="A4" s="1" t="s">
        <v>9</v>
      </c>
    </row>
    <row r="5" spans="1:78" hidden="1" outlineLevel="1" x14ac:dyDescent="0.2">
      <c r="A5" s="2" t="s">
        <v>10</v>
      </c>
    </row>
    <row r="6" spans="1:78" hidden="1" outlineLevel="1" x14ac:dyDescent="0.2">
      <c r="A6" s="1" t="s">
        <v>11</v>
      </c>
    </row>
    <row r="7" spans="1:78" collapsed="1" x14ac:dyDescent="0.2"/>
    <row r="8" spans="1:78" x14ac:dyDescent="0.2">
      <c r="A8" s="3" t="s">
        <v>12</v>
      </c>
    </row>
    <row r="9" spans="1:78" ht="12" outlineLevel="1" thickBot="1" x14ac:dyDescent="0.25">
      <c r="A9" s="4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tr">
        <f>"t("&amp;TEXT((1-I10)/2,"0.00%") &amp; ",29)"</f>
        <v>t(25.00%,29)</v>
      </c>
      <c r="I9" s="5" t="s">
        <v>19</v>
      </c>
    </row>
    <row r="10" spans="1:78" outlineLevel="1" x14ac:dyDescent="0.2">
      <c r="B10" s="6">
        <f xml:space="preserve"> 1 - C19 / C20</f>
        <v>0</v>
      </c>
      <c r="C10" s="6">
        <f>1-D10^2/E10^2</f>
        <v>0</v>
      </c>
      <c r="D10" s="6">
        <f xml:space="preserve"> SQRT(D19)</f>
        <v>12.01651162876057</v>
      </c>
      <c r="E10" s="6">
        <v>12.016511628760567</v>
      </c>
      <c r="F10" s="7">
        <v>30</v>
      </c>
      <c r="G10" s="7">
        <v>1</v>
      </c>
      <c r="H10" s="1">
        <f>TINV(1 - $I$10, F10 - 0 - 1)</f>
        <v>0.68304386082161361</v>
      </c>
      <c r="I10" s="8">
        <v>0.5</v>
      </c>
    </row>
    <row r="12" spans="1:78" x14ac:dyDescent="0.2">
      <c r="A12" s="3" t="s">
        <v>20</v>
      </c>
    </row>
    <row r="13" spans="1:78" ht="12" outlineLevel="1" thickBot="1" x14ac:dyDescent="0.25">
      <c r="A13" s="9" t="s">
        <v>21</v>
      </c>
      <c r="B13" s="5" t="s">
        <v>22</v>
      </c>
      <c r="C13" s="5" t="s">
        <v>23</v>
      </c>
      <c r="D13" s="5" t="s">
        <v>24</v>
      </c>
      <c r="E13" s="5" t="s">
        <v>25</v>
      </c>
      <c r="F13" s="5" t="str">
        <f>IF($I$10&gt;99%,("Lower"&amp;TEXT($I$10,"0.0%")),("Lower"&amp;TEXT($I$10,"0%")))</f>
        <v>Lower50%</v>
      </c>
      <c r="G13" s="5" t="str">
        <f>IF($I$10&gt;99%,("Upper"&amp;TEXT($I$10,"0.0%")),("Upper"&amp;TEXT($I$10,"0%")))</f>
        <v>Upper50%</v>
      </c>
      <c r="H13" s="5" t="s">
        <v>16</v>
      </c>
      <c r="I13" s="5" t="s">
        <v>26</v>
      </c>
    </row>
    <row r="14" spans="1:78" outlineLevel="1" x14ac:dyDescent="0.2">
      <c r="A14" s="1" t="s">
        <v>27</v>
      </c>
      <c r="B14" s="6">
        <v>38.5</v>
      </c>
      <c r="C14" s="6">
        <v>2.1939048271984363</v>
      </c>
      <c r="D14" s="6">
        <f>(B14 - 0) / C14</f>
        <v>17.548619029734109</v>
      </c>
      <c r="E14" s="6">
        <f>TDIST(ABS(D14),$F$10 - 1,2)</f>
        <v>5.498277315015807E-17</v>
      </c>
      <c r="F14" s="6">
        <f>B14 - TINV(1 - $I$10, $F$10 - 1) * C14</f>
        <v>37.001466776555205</v>
      </c>
      <c r="G14" s="6">
        <f>B14 + TINV(1 - $I$10, $F$10 - 1) * C14</f>
        <v>39.998533223444795</v>
      </c>
    </row>
    <row r="16" spans="1:78" x14ac:dyDescent="0.2">
      <c r="A16" s="3" t="s">
        <v>28</v>
      </c>
    </row>
    <row r="17" spans="1:7" ht="12" hidden="1" outlineLevel="1" thickBot="1" x14ac:dyDescent="0.25">
      <c r="A17" s="9" t="s">
        <v>29</v>
      </c>
      <c r="B17" s="5" t="s">
        <v>33</v>
      </c>
      <c r="C17" s="5" t="s">
        <v>34</v>
      </c>
      <c r="D17" s="5" t="s">
        <v>35</v>
      </c>
      <c r="E17" s="5" t="s">
        <v>36</v>
      </c>
      <c r="F17" s="5" t="s">
        <v>25</v>
      </c>
    </row>
    <row r="18" spans="1:7" hidden="1" outlineLevel="1" x14ac:dyDescent="0.2">
      <c r="A18" s="1" t="s">
        <v>30</v>
      </c>
      <c r="B18" s="7">
        <v>0</v>
      </c>
      <c r="C18" s="6">
        <f>C20 - C19</f>
        <v>0</v>
      </c>
      <c r="D18" s="10" t="s">
        <v>9</v>
      </c>
      <c r="E18" s="12" t="s">
        <v>9</v>
      </c>
      <c r="F18" s="12" t="s">
        <v>9</v>
      </c>
    </row>
    <row r="19" spans="1:7" hidden="1" outlineLevel="1" x14ac:dyDescent="0.2">
      <c r="A19" s="1" t="s">
        <v>31</v>
      </c>
      <c r="B19" s="7">
        <v>29</v>
      </c>
      <c r="C19" s="11">
        <v>4187.5000000000018</v>
      </c>
      <c r="D19" s="6">
        <f>C19/B19</f>
        <v>144.39655172413799</v>
      </c>
    </row>
    <row r="20" spans="1:7" hidden="1" outlineLevel="1" x14ac:dyDescent="0.2">
      <c r="A20" s="1" t="s">
        <v>32</v>
      </c>
      <c r="B20" s="7">
        <f>B18 + B19</f>
        <v>29</v>
      </c>
      <c r="C20" s="11">
        <v>4187.5</v>
      </c>
    </row>
    <row r="21" spans="1:7" collapsed="1" x14ac:dyDescent="0.2"/>
    <row r="22" spans="1:7" x14ac:dyDescent="0.2">
      <c r="A22" s="3" t="s">
        <v>37</v>
      </c>
    </row>
    <row r="23" spans="1:7" outlineLevel="1" x14ac:dyDescent="0.2"/>
    <row r="24" spans="1:7" outlineLevel="1" x14ac:dyDescent="0.2">
      <c r="B24" s="13" t="s">
        <v>7</v>
      </c>
      <c r="C24" s="13" t="s">
        <v>38</v>
      </c>
      <c r="D24" s="13" t="s">
        <v>39</v>
      </c>
      <c r="E24" s="13" t="s">
        <v>40</v>
      </c>
      <c r="F24" s="13" t="str">
        <f>IF($I$10&gt;99%,("Lower "&amp;TEXT($I$10,"0.0%")),("Lower "&amp;TEXT($I$10,"0%")))</f>
        <v>Lower 50%</v>
      </c>
      <c r="G24" s="13" t="str">
        <f>IF($I$10&gt;99%,("Upper "&amp;TEXT($I$10,"0.0%")),("Upper "&amp;TEXT($I$10,"0%")))</f>
        <v>Upper 50%</v>
      </c>
    </row>
    <row r="25" spans="1:7" outlineLevel="1" x14ac:dyDescent="0.2">
      <c r="B25" s="13">
        <v>1</v>
      </c>
      <c r="C25" s="13"/>
      <c r="D25" s="13">
        <f>$D$10 * SQRT(1+1/$F$10)</f>
        <v>12.215145112316211</v>
      </c>
      <c r="E25" s="13">
        <f>38.5</f>
        <v>38.5</v>
      </c>
      <c r="F25" s="13">
        <f>E25 - $H$10*D25</f>
        <v>30.15652012198727</v>
      </c>
      <c r="G25" s="13">
        <f>E25 + $H$10*D25</f>
        <v>46.84347987801273</v>
      </c>
    </row>
    <row r="26" spans="1:7" outlineLevel="1" x14ac:dyDescent="0.2">
      <c r="B26" s="13">
        <v>8.5</v>
      </c>
      <c r="C26" s="13"/>
      <c r="D26" s="13">
        <f>$D$10 * SQRT(1+1/$F$10)</f>
        <v>12.215145112316211</v>
      </c>
      <c r="E26" s="13">
        <f>38.5</f>
        <v>38.5</v>
      </c>
      <c r="F26" s="13">
        <f>E26 - $H$10*D26</f>
        <v>30.15652012198727</v>
      </c>
      <c r="G26" s="13">
        <f>E26 + $H$10*D26</f>
        <v>46.84347987801273</v>
      </c>
    </row>
    <row r="27" spans="1:7" outlineLevel="1" x14ac:dyDescent="0.2">
      <c r="B27" s="13">
        <v>16</v>
      </c>
      <c r="C27" s="13"/>
      <c r="D27" s="13">
        <f>$D$10 * SQRT(1+1/$F$10)</f>
        <v>12.215145112316211</v>
      </c>
      <c r="E27" s="13">
        <f>38.5</f>
        <v>38.5</v>
      </c>
      <c r="F27" s="13">
        <f>E27 - $H$10*D27</f>
        <v>30.15652012198727</v>
      </c>
      <c r="G27" s="13">
        <f>E27 + $H$10*D27</f>
        <v>46.84347987801273</v>
      </c>
    </row>
    <row r="28" spans="1:7" outlineLevel="1" x14ac:dyDescent="0.2">
      <c r="B28" s="13">
        <v>23.5</v>
      </c>
      <c r="C28" s="13"/>
      <c r="D28" s="13">
        <f>$D$10 * SQRT(1+1/$F$10)</f>
        <v>12.215145112316211</v>
      </c>
      <c r="E28" s="13">
        <f>38.5</f>
        <v>38.5</v>
      </c>
      <c r="F28" s="13">
        <f>E28 - $H$10*D28</f>
        <v>30.15652012198727</v>
      </c>
      <c r="G28" s="13">
        <f>E28 + $H$10*D28</f>
        <v>46.84347987801273</v>
      </c>
    </row>
    <row r="29" spans="1:7" outlineLevel="1" x14ac:dyDescent="0.2">
      <c r="B29" s="13">
        <v>31</v>
      </c>
      <c r="C29" s="13"/>
      <c r="D29" s="13">
        <f>$D$10 * SQRT(1+1/$F$10)</f>
        <v>12.215145112316211</v>
      </c>
      <c r="E29" s="13">
        <f>38.5</f>
        <v>38.5</v>
      </c>
      <c r="F29" s="13">
        <f>E29 - $H$10*D29</f>
        <v>30.15652012198727</v>
      </c>
      <c r="G29" s="13">
        <f>E29 + $H$10*D29</f>
        <v>46.84347987801273</v>
      </c>
    </row>
    <row r="30" spans="1:7" outlineLevel="1" x14ac:dyDescent="0.2"/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4" spans="1:6" x14ac:dyDescent="0.2">
      <c r="A44" s="3" t="s">
        <v>41</v>
      </c>
    </row>
    <row r="45" spans="1:6" ht="12" outlineLevel="1" thickBot="1" x14ac:dyDescent="0.25">
      <c r="A45" s="5" t="s">
        <v>42</v>
      </c>
      <c r="B45" s="5" t="s">
        <v>43</v>
      </c>
      <c r="C45" s="5" t="s">
        <v>44</v>
      </c>
      <c r="D45" s="5" t="s">
        <v>25</v>
      </c>
      <c r="E45" s="5" t="s">
        <v>46</v>
      </c>
      <c r="F45" s="5" t="s">
        <v>47</v>
      </c>
    </row>
    <row r="46" spans="1:6" outlineLevel="1" x14ac:dyDescent="0.2">
      <c r="A46" s="7">
        <v>15</v>
      </c>
      <c r="B46" s="7">
        <v>15</v>
      </c>
      <c r="C46" s="1">
        <v>0.19615392969977724</v>
      </c>
      <c r="D46" s="1">
        <v>0.88978348156705067</v>
      </c>
      <c r="E46" s="6">
        <v>-1.9556424298508237</v>
      </c>
      <c r="F46" s="6">
        <v>2.122080083455149</v>
      </c>
    </row>
    <row r="47" spans="1:6" outlineLevel="1" x14ac:dyDescent="0.2">
      <c r="A47" s="1" t="s">
        <v>45</v>
      </c>
    </row>
    <row r="49" spans="1:85" x14ac:dyDescent="0.2">
      <c r="A49" s="3" t="s">
        <v>48</v>
      </c>
    </row>
    <row r="50" spans="1:85" ht="12" outlineLevel="1" thickBot="1" x14ac:dyDescent="0.25">
      <c r="A50" s="5" t="s">
        <v>49</v>
      </c>
      <c r="B50" s="5" t="s">
        <v>50</v>
      </c>
      <c r="C50" s="5" t="s">
        <v>51</v>
      </c>
      <c r="D50" s="5" t="str">
        <f>IF($I$10&gt;99%,("Low"&amp;TEXT($I$10,"0.0%")&amp;"F"),("Lower"&amp;TEXT($I$10,"0%")&amp;"F"))</f>
        <v>Lower50%F</v>
      </c>
      <c r="E50" s="5" t="str">
        <f>IF($I$10&gt;99%,("Up"&amp;TEXT($I$10,"0.0%")&amp;"F"),("Upper"&amp;TEXT($I$10,"0%")&amp;"F"))</f>
        <v>Upper50%F</v>
      </c>
      <c r="F50" s="5" t="s">
        <v>52</v>
      </c>
      <c r="G50" s="5" t="str">
        <f>IF($I$10&gt;99%,("Low"&amp;TEXT($I$10,"0.0%")&amp;"M"),("Lower"&amp;TEXT($I$10,"0%")&amp;"M"))</f>
        <v>Lower50%M</v>
      </c>
      <c r="H50" s="5" t="str">
        <f>IF($I$10&gt;99%,("Up"&amp;TEXT($I$10,"0.0%")&amp;"M"),("Upper"&amp;TEXT($I$10,"0%")&amp;"M"))</f>
        <v>Upper50%M</v>
      </c>
    </row>
    <row r="51" spans="1:85" outlineLevel="1" x14ac:dyDescent="0.2">
      <c r="A51" s="7">
        <v>31</v>
      </c>
      <c r="B51" s="1">
        <v>38.5</v>
      </c>
      <c r="C51" s="6">
        <v>12.215145112316211</v>
      </c>
      <c r="D51" s="6">
        <f xml:space="preserve"> B51 - $H$10 * C51</f>
        <v>30.15652012198727</v>
      </c>
      <c r="E51" s="6">
        <f xml:space="preserve"> B51 + $H$10 * C51</f>
        <v>46.84347987801273</v>
      </c>
      <c r="F51" s="6">
        <v>2.1939048271984363</v>
      </c>
      <c r="G51" s="6">
        <f xml:space="preserve"> B51 - $H$10 * F51</f>
        <v>37.001466776555205</v>
      </c>
      <c r="H51" s="6">
        <f xml:space="preserve"> B51 + $H$10 * F51</f>
        <v>39.998533223444795</v>
      </c>
      <c r="I51" s="14"/>
      <c r="CG51" s="1">
        <f xml:space="preserve"> $C$51 * $H$10</f>
        <v>8.3434798780127277</v>
      </c>
    </row>
    <row r="52" spans="1:85" outlineLevel="1" x14ac:dyDescent="0.2">
      <c r="I52" s="14"/>
    </row>
    <row r="53" spans="1:85" outlineLevel="1" x14ac:dyDescent="0.2"/>
    <row r="54" spans="1:85" outlineLevel="1" x14ac:dyDescent="0.2"/>
    <row r="55" spans="1:85" outlineLevel="1" x14ac:dyDescent="0.2"/>
    <row r="56" spans="1:85" outlineLevel="1" x14ac:dyDescent="0.2"/>
    <row r="57" spans="1:85" outlineLevel="1" x14ac:dyDescent="0.2"/>
    <row r="58" spans="1:85" outlineLevel="1" x14ac:dyDescent="0.2"/>
    <row r="59" spans="1:85" outlineLevel="1" x14ac:dyDescent="0.2"/>
    <row r="60" spans="1:85" outlineLevel="1" x14ac:dyDescent="0.2"/>
    <row r="61" spans="1:85" outlineLevel="1" x14ac:dyDescent="0.2"/>
    <row r="62" spans="1:85" outlineLevel="1" x14ac:dyDescent="0.2"/>
    <row r="63" spans="1:85" outlineLevel="1" x14ac:dyDescent="0.2"/>
    <row r="64" spans="1:85" outlineLevel="1" x14ac:dyDescent="0.2"/>
    <row r="65" spans="1:3" outlineLevel="1" x14ac:dyDescent="0.2"/>
    <row r="66" spans="1:3" outlineLevel="1" x14ac:dyDescent="0.2"/>
    <row r="67" spans="1:3" outlineLevel="1" x14ac:dyDescent="0.2"/>
    <row r="68" spans="1:3" outlineLevel="1" x14ac:dyDescent="0.2"/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7" spans="1:3" x14ac:dyDescent="0.2">
      <c r="A77" s="3" t="s">
        <v>53</v>
      </c>
    </row>
    <row r="78" spans="1:3" outlineLevel="1" x14ac:dyDescent="0.2"/>
    <row r="79" spans="1:3" outlineLevel="1" x14ac:dyDescent="0.2"/>
    <row r="80" spans="1:3" outlineLevel="1" x14ac:dyDescent="0.2">
      <c r="C80" s="16" t="b">
        <v>0</v>
      </c>
    </row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  <row r="89" outlineLevel="1" x14ac:dyDescent="0.2"/>
    <row r="90" outlineLevel="1" x14ac:dyDescent="0.2"/>
    <row r="91" outlineLevel="1" x14ac:dyDescent="0.2"/>
    <row r="92" outlineLevel="1" x14ac:dyDescent="0.2"/>
    <row r="93" outlineLevel="1" x14ac:dyDescent="0.2"/>
    <row r="94" outlineLevel="1" x14ac:dyDescent="0.2"/>
    <row r="95" outlineLevel="1" x14ac:dyDescent="0.2"/>
    <row r="96" outlineLevel="1" x14ac:dyDescent="0.2"/>
    <row r="97" spans="1:1" outlineLevel="1" x14ac:dyDescent="0.2"/>
    <row r="99" spans="1:1" x14ac:dyDescent="0.2">
      <c r="A99" s="3" t="s">
        <v>54</v>
      </c>
    </row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1" spans="1:1" x14ac:dyDescent="0.2">
      <c r="A121" s="3" t="s">
        <v>55</v>
      </c>
    </row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3" spans="1:1" x14ac:dyDescent="0.2">
      <c r="A143" s="3" t="s">
        <v>56</v>
      </c>
    </row>
    <row r="144" spans="1:1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spans="1:1" outlineLevel="1" x14ac:dyDescent="0.2"/>
    <row r="162" spans="1:1" outlineLevel="1" x14ac:dyDescent="0.2"/>
    <row r="163" spans="1:1" outlineLevel="1" x14ac:dyDescent="0.2"/>
    <row r="165" spans="1:1" x14ac:dyDescent="0.2">
      <c r="A165" s="3" t="s">
        <v>57</v>
      </c>
    </row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6" outlineLevel="1" x14ac:dyDescent="0.2"/>
    <row r="178" spans="1:6" outlineLevel="1" x14ac:dyDescent="0.2"/>
    <row r="179" spans="1:6" outlineLevel="1" x14ac:dyDescent="0.2"/>
    <row r="180" spans="1:6" outlineLevel="1" x14ac:dyDescent="0.2"/>
    <row r="181" spans="1:6" outlineLevel="1" x14ac:dyDescent="0.2"/>
    <row r="182" spans="1:6" outlineLevel="1" x14ac:dyDescent="0.2"/>
    <row r="183" spans="1:6" outlineLevel="1" x14ac:dyDescent="0.2"/>
    <row r="184" spans="1:6" outlineLevel="1" x14ac:dyDescent="0.2"/>
    <row r="185" spans="1:6" outlineLevel="1" x14ac:dyDescent="0.2"/>
    <row r="187" spans="1:6" x14ac:dyDescent="0.2">
      <c r="A187" s="3" t="s">
        <v>58</v>
      </c>
    </row>
    <row r="188" spans="1:6" ht="12" hidden="1" outlineLevel="1" thickBot="1" x14ac:dyDescent="0.25">
      <c r="A188" s="5" t="s">
        <v>49</v>
      </c>
      <c r="B188" s="5" t="s">
        <v>59</v>
      </c>
      <c r="C188" s="5" t="s">
        <v>40</v>
      </c>
      <c r="D188" s="5" t="s">
        <v>31</v>
      </c>
      <c r="E188" s="5" t="s">
        <v>60</v>
      </c>
    </row>
    <row r="189" spans="1:6" ht="15" hidden="1" outlineLevel="1" x14ac:dyDescent="0.25">
      <c r="A189" s="7">
        <v>28</v>
      </c>
      <c r="B189" s="6">
        <v>64</v>
      </c>
      <c r="C189" s="6">
        <v>38.5</v>
      </c>
      <c r="D189" s="6">
        <f>B189 - C189</f>
        <v>25.5</v>
      </c>
      <c r="E189" s="1">
        <f>D189 /12.0165116287606</f>
        <v>2.1220800834551437</v>
      </c>
      <c r="F189"/>
    </row>
    <row r="190" spans="1:6" ht="15" hidden="1" outlineLevel="1" x14ac:dyDescent="0.25">
      <c r="A190" s="7">
        <v>12</v>
      </c>
      <c r="B190" s="6">
        <v>15</v>
      </c>
      <c r="C190" s="6">
        <v>38.5</v>
      </c>
      <c r="D190" s="6">
        <f>B190 - C190</f>
        <v>-23.5</v>
      </c>
      <c r="E190" s="1">
        <f>D190 /12.0165116287606</f>
        <v>-1.9556424298508188</v>
      </c>
      <c r="F190"/>
    </row>
    <row r="191" spans="1:6" ht="15" hidden="1" outlineLevel="1" x14ac:dyDescent="0.25">
      <c r="A191" s="7">
        <v>20</v>
      </c>
      <c r="B191" s="6">
        <v>58</v>
      </c>
      <c r="C191" s="6">
        <v>38.5</v>
      </c>
      <c r="D191" s="6">
        <f>B191 - C191</f>
        <v>19.5</v>
      </c>
      <c r="E191" s="1">
        <f>D191 /12.0165116287606</f>
        <v>1.6227671226421687</v>
      </c>
      <c r="F191"/>
    </row>
    <row r="192" spans="1:6" ht="15" hidden="1" outlineLevel="1" x14ac:dyDescent="0.25">
      <c r="A192" s="7">
        <v>24</v>
      </c>
      <c r="B192" s="6">
        <v>55</v>
      </c>
      <c r="C192" s="6">
        <v>38.5</v>
      </c>
      <c r="D192" s="6">
        <f>B192 - C192</f>
        <v>16.5</v>
      </c>
      <c r="E192" s="1">
        <f>D192 /12.0165116287606</f>
        <v>1.3731106422356811</v>
      </c>
      <c r="F192"/>
    </row>
    <row r="193" spans="1:6" ht="15" hidden="1" outlineLevel="1" x14ac:dyDescent="0.25">
      <c r="A193" s="7">
        <v>25</v>
      </c>
      <c r="B193" s="6">
        <v>55</v>
      </c>
      <c r="C193" s="6">
        <v>38.5</v>
      </c>
      <c r="D193" s="6">
        <f>B193 - C193</f>
        <v>16.5</v>
      </c>
      <c r="E193" s="1">
        <f>D193 /12.0165116287606</f>
        <v>1.3731106422356811</v>
      </c>
      <c r="F193"/>
    </row>
    <row r="194" spans="1:6" ht="15" hidden="1" outlineLevel="1" x14ac:dyDescent="0.25">
      <c r="A194" s="7">
        <v>3</v>
      </c>
      <c r="B194" s="6">
        <v>54</v>
      </c>
      <c r="C194" s="6">
        <v>38.5</v>
      </c>
      <c r="D194" s="6">
        <f>B194 - C194</f>
        <v>15.5</v>
      </c>
      <c r="E194" s="1">
        <f>D194 /12.0165116287606</f>
        <v>1.2898918154335188</v>
      </c>
      <c r="F194"/>
    </row>
    <row r="195" spans="1:6" ht="15" hidden="1" outlineLevel="1" x14ac:dyDescent="0.25">
      <c r="A195" s="7">
        <v>9</v>
      </c>
      <c r="B195" s="6">
        <v>23</v>
      </c>
      <c r="C195" s="6">
        <v>38.5</v>
      </c>
      <c r="D195" s="6">
        <f>B195 - C195</f>
        <v>-15.5</v>
      </c>
      <c r="E195" s="1">
        <f>D195 /12.0165116287606</f>
        <v>-1.2898918154335188</v>
      </c>
      <c r="F195"/>
    </row>
    <row r="196" spans="1:6" ht="15" hidden="1" outlineLevel="1" x14ac:dyDescent="0.25">
      <c r="A196" s="7">
        <v>13</v>
      </c>
      <c r="B196" s="6">
        <v>23</v>
      </c>
      <c r="C196" s="6">
        <v>38.5</v>
      </c>
      <c r="D196" s="6">
        <f>B196 - C196</f>
        <v>-15.5</v>
      </c>
      <c r="E196" s="1">
        <f>D196 /12.0165116287606</f>
        <v>-1.2898918154335188</v>
      </c>
      <c r="F196"/>
    </row>
    <row r="197" spans="1:6" ht="15" hidden="1" outlineLevel="1" x14ac:dyDescent="0.25">
      <c r="A197" s="7">
        <v>7</v>
      </c>
      <c r="B197" s="6">
        <v>24</v>
      </c>
      <c r="C197" s="6">
        <v>38.5</v>
      </c>
      <c r="D197" s="6">
        <f>B197 - C197</f>
        <v>-14.5</v>
      </c>
      <c r="E197" s="1">
        <f>D197 /12.0165116287606</f>
        <v>-1.2066729886313563</v>
      </c>
      <c r="F197"/>
    </row>
    <row r="198" spans="1:6" ht="15" hidden="1" outlineLevel="1" x14ac:dyDescent="0.25">
      <c r="A198" s="7">
        <v>1</v>
      </c>
      <c r="B198" s="6">
        <v>25</v>
      </c>
      <c r="C198" s="6">
        <v>38.5</v>
      </c>
      <c r="D198" s="6">
        <f>B198 - C198</f>
        <v>-13.5</v>
      </c>
      <c r="E198" s="1">
        <f>D198 /12.0165116287606</f>
        <v>-1.1234541618291938</v>
      </c>
      <c r="F198"/>
    </row>
    <row r="199" spans="1:6" ht="15" hidden="1" outlineLevel="1" x14ac:dyDescent="0.25">
      <c r="A199" s="7">
        <v>4</v>
      </c>
      <c r="B199" s="6">
        <v>26</v>
      </c>
      <c r="C199" s="6">
        <v>38.5</v>
      </c>
      <c r="D199" s="6">
        <f>B199 - C199</f>
        <v>-12.5</v>
      </c>
      <c r="E199" s="1">
        <f>D199 /12.0165116287606</f>
        <v>-1.0402353350270312</v>
      </c>
      <c r="F199"/>
    </row>
    <row r="200" spans="1:6" ht="15" hidden="1" outlineLevel="1" x14ac:dyDescent="0.25">
      <c r="A200" s="7">
        <v>18</v>
      </c>
      <c r="B200" s="6">
        <v>26</v>
      </c>
      <c r="C200" s="6">
        <v>38.5</v>
      </c>
      <c r="D200" s="6">
        <f>B200 - C200</f>
        <v>-12.5</v>
      </c>
      <c r="E200" s="1">
        <f>D200 /12.0165116287606</f>
        <v>-1.0402353350270312</v>
      </c>
      <c r="F200"/>
    </row>
    <row r="201" spans="1:6" ht="15" hidden="1" outlineLevel="1" x14ac:dyDescent="0.25">
      <c r="A201" s="7">
        <v>17</v>
      </c>
      <c r="B201" s="6">
        <v>50</v>
      </c>
      <c r="C201" s="6">
        <v>38.5</v>
      </c>
      <c r="D201" s="6">
        <f>B201 - C201</f>
        <v>11.5</v>
      </c>
      <c r="E201" s="1">
        <f>D201 /12.0165116287606</f>
        <v>0.95701650822486872</v>
      </c>
      <c r="F201"/>
    </row>
    <row r="202" spans="1:6" ht="15" hidden="1" outlineLevel="1" x14ac:dyDescent="0.25">
      <c r="A202" s="7">
        <v>21</v>
      </c>
      <c r="B202" s="6">
        <v>48</v>
      </c>
      <c r="C202" s="6">
        <v>38.5</v>
      </c>
      <c r="D202" s="6">
        <f>B202 - C202</f>
        <v>9.5</v>
      </c>
      <c r="E202" s="1">
        <f>D202 /12.0165116287606</f>
        <v>0.79057885462054378</v>
      </c>
      <c r="F202"/>
    </row>
    <row r="203" spans="1:6" ht="15" hidden="1" outlineLevel="1" x14ac:dyDescent="0.25">
      <c r="A203" s="7">
        <v>30</v>
      </c>
      <c r="B203" s="6">
        <v>29</v>
      </c>
      <c r="C203" s="6">
        <v>38.5</v>
      </c>
      <c r="D203" s="6">
        <f>B203 - C203</f>
        <v>-9.5</v>
      </c>
      <c r="E203" s="1">
        <f>D203 /12.0165116287606</f>
        <v>-0.79057885462054378</v>
      </c>
      <c r="F203"/>
    </row>
    <row r="204" spans="1:6" ht="15" hidden="1" outlineLevel="1" x14ac:dyDescent="0.25">
      <c r="A204" s="7">
        <v>11</v>
      </c>
      <c r="B204" s="6">
        <v>30</v>
      </c>
      <c r="C204" s="6">
        <v>38.5</v>
      </c>
      <c r="D204" s="6">
        <f>B204 - C204</f>
        <v>-8.5</v>
      </c>
      <c r="E204" s="1">
        <f>D204 /12.0165116287606</f>
        <v>-0.70736002781838125</v>
      </c>
      <c r="F204"/>
    </row>
    <row r="205" spans="1:6" ht="15" hidden="1" outlineLevel="1" x14ac:dyDescent="0.25">
      <c r="A205" s="7">
        <v>16</v>
      </c>
      <c r="B205" s="6">
        <v>46</v>
      </c>
      <c r="C205" s="6">
        <v>38.5</v>
      </c>
      <c r="D205" s="6">
        <f>B205 - C205</f>
        <v>7.5</v>
      </c>
      <c r="E205" s="1">
        <f>D205 /12.0165116287606</f>
        <v>0.62414120101621873</v>
      </c>
      <c r="F205"/>
    </row>
    <row r="206" spans="1:6" ht="15" hidden="1" outlineLevel="1" x14ac:dyDescent="0.25">
      <c r="A206" s="7">
        <v>22</v>
      </c>
      <c r="B206" s="6">
        <v>46</v>
      </c>
      <c r="C206" s="6">
        <v>38.5</v>
      </c>
      <c r="D206" s="6">
        <f>B206 - C206</f>
        <v>7.5</v>
      </c>
      <c r="E206" s="1">
        <f>D206 /12.0165116287606</f>
        <v>0.62414120101621873</v>
      </c>
      <c r="F206"/>
    </row>
    <row r="207" spans="1:6" ht="15" hidden="1" outlineLevel="1" x14ac:dyDescent="0.25">
      <c r="A207" s="7">
        <v>15</v>
      </c>
      <c r="B207" s="6">
        <v>32</v>
      </c>
      <c r="C207" s="6">
        <v>38.5</v>
      </c>
      <c r="D207" s="6">
        <f>B207 - C207</f>
        <v>-6.5</v>
      </c>
      <c r="E207" s="1">
        <f>D207 /12.0165116287606</f>
        <v>-0.5409223742140562</v>
      </c>
      <c r="F207"/>
    </row>
    <row r="208" spans="1:6" ht="15" hidden="1" outlineLevel="1" x14ac:dyDescent="0.25">
      <c r="A208" s="7">
        <v>19</v>
      </c>
      <c r="B208" s="6">
        <v>44</v>
      </c>
      <c r="C208" s="6">
        <v>38.5</v>
      </c>
      <c r="D208" s="6">
        <f>B208 - C208</f>
        <v>5.5</v>
      </c>
      <c r="E208" s="1">
        <f>D208 /12.0165116287606</f>
        <v>0.45770354741189373</v>
      </c>
      <c r="F208"/>
    </row>
    <row r="209" spans="1:6" ht="15" hidden="1" outlineLevel="1" x14ac:dyDescent="0.25">
      <c r="A209" s="7">
        <v>6</v>
      </c>
      <c r="B209" s="6">
        <v>34</v>
      </c>
      <c r="C209" s="6">
        <v>38.5</v>
      </c>
      <c r="D209" s="6">
        <f>B209 - C209</f>
        <v>-4.5</v>
      </c>
      <c r="E209" s="1">
        <f>D209 /12.0165116287606</f>
        <v>-0.37448472060973126</v>
      </c>
      <c r="F209"/>
    </row>
    <row r="210" spans="1:6" ht="15" hidden="1" outlineLevel="1" x14ac:dyDescent="0.25">
      <c r="A210" s="7">
        <v>2</v>
      </c>
      <c r="B210" s="6">
        <v>42</v>
      </c>
      <c r="C210" s="6">
        <v>38.5</v>
      </c>
      <c r="D210" s="6">
        <f>B210 - C210</f>
        <v>3.5</v>
      </c>
      <c r="E210" s="1">
        <f>D210 /12.0165116287606</f>
        <v>0.29126589380756873</v>
      </c>
      <c r="F210"/>
    </row>
    <row r="211" spans="1:6" ht="15" hidden="1" outlineLevel="1" x14ac:dyDescent="0.25">
      <c r="A211" s="7">
        <v>27</v>
      </c>
      <c r="B211" s="6">
        <v>35</v>
      </c>
      <c r="C211" s="6">
        <v>38.5</v>
      </c>
      <c r="D211" s="6">
        <f>B211 - C211</f>
        <v>-3.5</v>
      </c>
      <c r="E211" s="1">
        <f>D211 /12.0165116287606</f>
        <v>-0.29126589380756873</v>
      </c>
      <c r="F211"/>
    </row>
    <row r="212" spans="1:6" ht="15" hidden="1" outlineLevel="1" x14ac:dyDescent="0.25">
      <c r="A212" s="7">
        <v>23</v>
      </c>
      <c r="B212" s="6">
        <v>36</v>
      </c>
      <c r="C212" s="6">
        <v>38.5</v>
      </c>
      <c r="D212" s="6">
        <f>B212 - C212</f>
        <v>-2.5</v>
      </c>
      <c r="E212" s="1">
        <f>D212 /12.0165116287606</f>
        <v>-0.20804706700540626</v>
      </c>
      <c r="F212"/>
    </row>
    <row r="213" spans="1:6" ht="15" hidden="1" outlineLevel="1" x14ac:dyDescent="0.25">
      <c r="A213" s="7">
        <v>26</v>
      </c>
      <c r="B213" s="6">
        <v>41</v>
      </c>
      <c r="C213" s="6">
        <v>38.5</v>
      </c>
      <c r="D213" s="6">
        <f>B213 - C213</f>
        <v>2.5</v>
      </c>
      <c r="E213" s="1">
        <f>D213 /12.0165116287606</f>
        <v>0.20804706700540626</v>
      </c>
      <c r="F213"/>
    </row>
    <row r="214" spans="1:6" ht="15" hidden="1" outlineLevel="1" x14ac:dyDescent="0.25">
      <c r="A214" s="7">
        <v>8</v>
      </c>
      <c r="B214" s="6">
        <v>37</v>
      </c>
      <c r="C214" s="6">
        <v>38.5</v>
      </c>
      <c r="D214" s="6">
        <f>B214 - C214</f>
        <v>-1.5</v>
      </c>
      <c r="E214" s="1">
        <f>D214 /12.0165116287606</f>
        <v>-0.12482824020324375</v>
      </c>
      <c r="F214"/>
    </row>
    <row r="215" spans="1:6" ht="15" hidden="1" outlineLevel="1" x14ac:dyDescent="0.25">
      <c r="A215" s="7">
        <v>10</v>
      </c>
      <c r="B215" s="6">
        <v>40</v>
      </c>
      <c r="C215" s="6">
        <v>38.5</v>
      </c>
      <c r="D215" s="6">
        <f>B215 - C215</f>
        <v>1.5</v>
      </c>
      <c r="E215" s="1">
        <f>D215 /12.0165116287606</f>
        <v>0.12482824020324375</v>
      </c>
      <c r="F215"/>
    </row>
    <row r="216" spans="1:6" ht="15" hidden="1" outlineLevel="1" x14ac:dyDescent="0.25">
      <c r="A216" s="7">
        <v>14</v>
      </c>
      <c r="B216" s="6">
        <v>40</v>
      </c>
      <c r="C216" s="6">
        <v>38.5</v>
      </c>
      <c r="D216" s="6">
        <f>B216 - C216</f>
        <v>1.5</v>
      </c>
      <c r="E216" s="1">
        <f>D216 /12.0165116287606</f>
        <v>0.12482824020324375</v>
      </c>
      <c r="F216"/>
    </row>
    <row r="217" spans="1:6" ht="15" hidden="1" outlineLevel="1" x14ac:dyDescent="0.25">
      <c r="A217" s="7">
        <v>5</v>
      </c>
      <c r="B217" s="6">
        <v>39</v>
      </c>
      <c r="C217" s="6">
        <v>38.5</v>
      </c>
      <c r="D217" s="6">
        <f>B217 - C217</f>
        <v>0.5</v>
      </c>
      <c r="E217" s="1">
        <f>D217 /12.0165116287606</f>
        <v>4.1609413401081249E-2</v>
      </c>
      <c r="F217"/>
    </row>
    <row r="218" spans="1:6" ht="15" hidden="1" outlineLevel="1" x14ac:dyDescent="0.25">
      <c r="A218" s="7">
        <v>29</v>
      </c>
      <c r="B218" s="6">
        <v>38</v>
      </c>
      <c r="C218" s="6">
        <v>38.5</v>
      </c>
      <c r="D218" s="6">
        <f>B218 - C218</f>
        <v>-0.5</v>
      </c>
      <c r="E218" s="1">
        <f>D218 /12.0165116287606</f>
        <v>-4.1609413401081249E-2</v>
      </c>
      <c r="F218"/>
    </row>
    <row r="219" spans="1:6" collapsed="1" x14ac:dyDescent="0.2"/>
  </sheetData>
  <sortState ref="A189:F218">
    <sortCondition descending="1" ref="F189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20"/>
  <sheetViews>
    <sheetView showGridLines="0" showRowColHeaders="0" workbookViewId="0">
      <selection activeCell="B1" sqref="B1"/>
    </sheetView>
  </sheetViews>
  <sheetFormatPr defaultRowHeight="11.25" outlineLevelRow="1" x14ac:dyDescent="0.2"/>
  <cols>
    <col min="1" max="1" width="8.85546875" style="1" customWidth="1"/>
    <col min="2" max="7" width="9.140625" style="1"/>
    <col min="8" max="8" width="9.28515625" style="1" bestFit="1" customWidth="1"/>
    <col min="9" max="77" width="9.140625" style="1"/>
    <col min="78" max="78" width="38" style="1" bestFit="1" customWidth="1"/>
    <col min="79" max="16384" width="9.140625" style="1"/>
  </cols>
  <sheetData>
    <row r="1" spans="1:78" ht="15" x14ac:dyDescent="0.25">
      <c r="A1" s="2" t="s">
        <v>3</v>
      </c>
      <c r="B1" s="1" t="s">
        <v>72</v>
      </c>
      <c r="E1"/>
      <c r="Z1" s="15" t="s">
        <v>73</v>
      </c>
      <c r="BZ1"/>
    </row>
    <row r="2" spans="1:78" x14ac:dyDescent="0.2">
      <c r="A2" s="2" t="s">
        <v>6</v>
      </c>
      <c r="C2" s="1" t="s">
        <v>7</v>
      </c>
      <c r="AA2" s="15" t="str">
        <f>"Forecasts and " &amp; TEXT($I$10, "0.0%") &amp; " confidence limits for means and forecasts
Linear trend model for X1_    (1 variable, n=30)"</f>
        <v>Forecasts and 95.0% confidence limits for means and forecasts
Linear trend model for X1_    (1 variable, n=30)</v>
      </c>
    </row>
    <row r="3" spans="1:78" ht="11.25" hidden="1" customHeight="1" outlineLevel="1" x14ac:dyDescent="0.2">
      <c r="A3" s="2" t="s">
        <v>8</v>
      </c>
      <c r="AA3" s="15" t="str">
        <f>IF($A$52 &lt;&gt; "","Actual and predicted -vs- Observation # with " &amp; TEXT($I$10, "0.0%") &amp; " confidence limits
Linear trend model for X1_    (1 variable, n=30)","Actual and predicted -vs- Observation #
Linear trend model for X1_    (1 variable, n=30)")</f>
        <v>Actual and predicted -vs- Observation # with 95.0% confidence limits
Linear trend model for X1_    (1 variable, n=30)</v>
      </c>
    </row>
    <row r="4" spans="1:78" hidden="1" outlineLevel="1" x14ac:dyDescent="0.2">
      <c r="A4" s="1" t="s">
        <v>0</v>
      </c>
    </row>
    <row r="5" spans="1:78" hidden="1" outlineLevel="1" x14ac:dyDescent="0.2">
      <c r="A5" s="2" t="s">
        <v>10</v>
      </c>
    </row>
    <row r="6" spans="1:78" hidden="1" outlineLevel="1" x14ac:dyDescent="0.2">
      <c r="A6" s="1" t="s">
        <v>74</v>
      </c>
    </row>
    <row r="7" spans="1:78" collapsed="1" x14ac:dyDescent="0.2"/>
    <row r="8" spans="1:78" x14ac:dyDescent="0.2">
      <c r="A8" s="3" t="s">
        <v>75</v>
      </c>
    </row>
    <row r="9" spans="1:78" ht="12" outlineLevel="1" thickBot="1" x14ac:dyDescent="0.25">
      <c r="A9" s="4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tr">
        <f>"t("&amp;TEXT((1-I10)/2,"0.00%") &amp; ",28)"</f>
        <v>t(2.50%,28)</v>
      </c>
      <c r="I9" s="5" t="s">
        <v>19</v>
      </c>
    </row>
    <row r="10" spans="1:78" outlineLevel="1" x14ac:dyDescent="0.2">
      <c r="B10" s="6">
        <f xml:space="preserve"> 1 - C20 / C21</f>
        <v>0.14285221722311681</v>
      </c>
      <c r="C10" s="6">
        <f>1-D10^2/E10^2</f>
        <v>0.11223979640965676</v>
      </c>
      <c r="D10" s="6">
        <f xml:space="preserve"> SQRT(D20)</f>
        <v>11.322080734404089</v>
      </c>
      <c r="E10" s="6">
        <v>12.016511628760567</v>
      </c>
      <c r="F10" s="7">
        <v>30</v>
      </c>
      <c r="G10" s="7">
        <v>1</v>
      </c>
      <c r="H10" s="1">
        <f>TINV(1 - $I$10, F10 - 1 - 1)</f>
        <v>2.0484071417952445</v>
      </c>
      <c r="I10" s="8">
        <v>0.95</v>
      </c>
    </row>
    <row r="12" spans="1:78" x14ac:dyDescent="0.2">
      <c r="A12" s="3" t="s">
        <v>76</v>
      </c>
    </row>
    <row r="13" spans="1:78" ht="12" outlineLevel="1" thickBot="1" x14ac:dyDescent="0.25">
      <c r="A13" s="9" t="s">
        <v>21</v>
      </c>
      <c r="B13" s="5" t="s">
        <v>22</v>
      </c>
      <c r="C13" s="5" t="s">
        <v>23</v>
      </c>
      <c r="D13" s="5" t="s">
        <v>24</v>
      </c>
      <c r="E13" s="5" t="s">
        <v>25</v>
      </c>
      <c r="F13" s="5" t="str">
        <f>IF($I$10&gt;99%,("Lower"&amp;TEXT($I$10,"0.0%")),("Lower"&amp;TEXT($I$10,"0%")))</f>
        <v>Lower95%</v>
      </c>
      <c r="G13" s="5" t="str">
        <f>IF($I$10&gt;99%,("Upper"&amp;TEXT($I$10,"0.0%")),("Upper"&amp;TEXT($I$10,"0%")))</f>
        <v>Upper95%</v>
      </c>
      <c r="H13" s="5" t="s">
        <v>16</v>
      </c>
      <c r="I13" s="5" t="s">
        <v>26</v>
      </c>
    </row>
    <row r="14" spans="1:78" outlineLevel="1" x14ac:dyDescent="0.2">
      <c r="A14" s="1" t="s">
        <v>27</v>
      </c>
      <c r="B14" s="6">
        <v>30.503448275862052</v>
      </c>
      <c r="C14" s="6">
        <v>4.2398113820381527</v>
      </c>
      <c r="D14" s="6">
        <f>(B14 - 0) / C14</f>
        <v>7.1945295503212936</v>
      </c>
      <c r="E14" s="6">
        <f>TDIST(ABS(D14),$F$10 - 2,2)</f>
        <v>7.870008235422496E-8</v>
      </c>
      <c r="F14" s="6">
        <f>B14 - TINV(1 - $I$10, $F$10 - 2) * C14</f>
        <v>21.818588361030336</v>
      </c>
      <c r="G14" s="6">
        <f>B14 + TINV(1 - $I$10, $F$10 - 2) * C14</f>
        <v>39.188308190693768</v>
      </c>
    </row>
    <row r="15" spans="1:78" outlineLevel="1" x14ac:dyDescent="0.2">
      <c r="A15" s="1" t="s">
        <v>0</v>
      </c>
      <c r="B15" s="6">
        <v>0.51590656284760816</v>
      </c>
      <c r="C15" s="6">
        <v>0.23882313621622417</v>
      </c>
      <c r="D15" s="6">
        <f>(B15 - 0) / C15</f>
        <v>2.1602034502240182</v>
      </c>
      <c r="E15" s="6">
        <f>TDIST(ABS(D15),$F$10 - 2,2)</f>
        <v>3.946647891498288E-2</v>
      </c>
      <c r="F15" s="6">
        <f>B15 - TINV(1 - $I$10, $F$10 - 2) * C15</f>
        <v>2.6699544996356073E-2</v>
      </c>
      <c r="G15" s="6">
        <f>B15 + TINV(1 - $I$10, $F$10 - 2) * C15</f>
        <v>1.0051135806988603</v>
      </c>
      <c r="H15" s="6">
        <v>8.8034084308295046</v>
      </c>
      <c r="I15" s="1">
        <f>B15*H15/$E$10</f>
        <v>0.37795795695171808</v>
      </c>
    </row>
    <row r="17" spans="1:7" x14ac:dyDescent="0.2">
      <c r="A17" s="3" t="s">
        <v>77</v>
      </c>
    </row>
    <row r="18" spans="1:7" ht="12" hidden="1" outlineLevel="1" thickBot="1" x14ac:dyDescent="0.25">
      <c r="A18" s="9" t="s">
        <v>29</v>
      </c>
      <c r="B18" s="5" t="s">
        <v>33</v>
      </c>
      <c r="C18" s="5" t="s">
        <v>34</v>
      </c>
      <c r="D18" s="5" t="s">
        <v>35</v>
      </c>
      <c r="E18" s="5" t="s">
        <v>36</v>
      </c>
      <c r="F18" s="5" t="s">
        <v>25</v>
      </c>
    </row>
    <row r="19" spans="1:7" hidden="1" outlineLevel="1" x14ac:dyDescent="0.2">
      <c r="A19" s="1" t="s">
        <v>30</v>
      </c>
      <c r="B19" s="7">
        <v>1</v>
      </c>
      <c r="C19" s="6">
        <f>C21 - C20</f>
        <v>598.19365962180154</v>
      </c>
      <c r="D19" s="6">
        <f>C19/B19</f>
        <v>598.19365962180154</v>
      </c>
      <c r="E19" s="6">
        <f>D19/D20</f>
        <v>4.6664789463597547</v>
      </c>
      <c r="F19" s="6">
        <f>FDIST(E19,1,28)</f>
        <v>3.9466478914982811E-2</v>
      </c>
    </row>
    <row r="20" spans="1:7" hidden="1" outlineLevel="1" x14ac:dyDescent="0.2">
      <c r="A20" s="1" t="s">
        <v>31</v>
      </c>
      <c r="B20" s="7">
        <v>28</v>
      </c>
      <c r="C20" s="11">
        <v>3589.3063403781985</v>
      </c>
      <c r="D20" s="6">
        <f>C20/B20</f>
        <v>128.18951215636423</v>
      </c>
    </row>
    <row r="21" spans="1:7" hidden="1" outlineLevel="1" x14ac:dyDescent="0.2">
      <c r="A21" s="1" t="s">
        <v>32</v>
      </c>
      <c r="B21" s="7">
        <f>B19 + B20</f>
        <v>29</v>
      </c>
      <c r="C21" s="11">
        <v>4187.5</v>
      </c>
    </row>
    <row r="22" spans="1:7" collapsed="1" x14ac:dyDescent="0.2"/>
    <row r="23" spans="1:7" x14ac:dyDescent="0.2">
      <c r="A23" s="3" t="s">
        <v>37</v>
      </c>
    </row>
    <row r="24" spans="1:7" outlineLevel="1" x14ac:dyDescent="0.2"/>
    <row r="25" spans="1:7" outlineLevel="1" x14ac:dyDescent="0.2">
      <c r="B25" s="13" t="s">
        <v>0</v>
      </c>
      <c r="C25" s="13" t="s">
        <v>38</v>
      </c>
      <c r="D25" s="13" t="s">
        <v>39</v>
      </c>
      <c r="E25" s="13" t="s">
        <v>40</v>
      </c>
      <c r="F25" s="13" t="str">
        <f>IF($I$10&gt;99%,("Lower "&amp;TEXT($I$10,"0.0%")),("Lower "&amp;TEXT($I$10,"0%")))</f>
        <v>Lower 95%</v>
      </c>
      <c r="G25" s="13" t="str">
        <f>IF($I$10&gt;99%,("Upper "&amp;TEXT($I$10,"0.0%")),("Upper "&amp;TEXT($I$10,"0%")))</f>
        <v>Upper 95%</v>
      </c>
    </row>
    <row r="26" spans="1:7" outlineLevel="1" x14ac:dyDescent="0.2">
      <c r="B26" s="13">
        <v>1</v>
      </c>
      <c r="C26" s="13">
        <f>$D$10/SQRT($F$10)*SQRT(1+(B26- 15.5)^2/74.9166666666667)</f>
        <v>4.0329772927076677</v>
      </c>
      <c r="D26" s="13">
        <f>SQRT($D$10^2 + C26^2)</f>
        <v>12.018919169370427</v>
      </c>
      <c r="E26" s="13">
        <f>30.5034482758621 + 0.515906562847608 * B26</f>
        <v>31.01935483870971</v>
      </c>
      <c r="F26" s="13">
        <f>E26 - $H$10*D26</f>
        <v>6.3997149755115572</v>
      </c>
      <c r="G26" s="13">
        <f>E26 + $H$10*D26</f>
        <v>55.638994701907862</v>
      </c>
    </row>
    <row r="27" spans="1:7" outlineLevel="1" x14ac:dyDescent="0.2">
      <c r="B27" s="13">
        <v>8.25</v>
      </c>
      <c r="C27" s="13">
        <f>$D$10/SQRT($F$10)*SQRT(1+(B27- 15.5)^2/74.9166666666667)</f>
        <v>2.6964725596198864</v>
      </c>
      <c r="D27" s="13">
        <f>SQRT($D$10^2 + C27^2)</f>
        <v>11.638748919928949</v>
      </c>
      <c r="E27" s="13">
        <f>30.5034482758621 + 0.515906562847608 * B27</f>
        <v>34.759677419354865</v>
      </c>
      <c r="F27" s="13">
        <f>E27 - $H$10*D27</f>
        <v>10.918781010210719</v>
      </c>
      <c r="G27" s="13">
        <f>E27 + $H$10*D27</f>
        <v>58.600573828499009</v>
      </c>
    </row>
    <row r="28" spans="1:7" outlineLevel="1" x14ac:dyDescent="0.2">
      <c r="B28" s="13">
        <v>15.5</v>
      </c>
      <c r="C28" s="13">
        <f>$D$10/SQRT($F$10)*SQRT(1+(B28- 15.5)^2/74.9166666666667)</f>
        <v>2.0671196720425922</v>
      </c>
      <c r="D28" s="13">
        <f>SQRT($D$10^2 + C28^2)</f>
        <v>11.509235243703626</v>
      </c>
      <c r="E28" s="13">
        <f>30.5034482758621 + 0.515906562847608 * B28</f>
        <v>38.500000000000028</v>
      </c>
      <c r="F28" s="13">
        <f>E28 - $H$10*D28</f>
        <v>14.92440033019599</v>
      </c>
      <c r="G28" s="13">
        <f>E28 + $H$10*D28</f>
        <v>62.075599669804063</v>
      </c>
    </row>
    <row r="29" spans="1:7" outlineLevel="1" x14ac:dyDescent="0.2">
      <c r="B29" s="13">
        <v>22.75</v>
      </c>
      <c r="C29" s="13">
        <f>$D$10/SQRT($F$10)*SQRT(1+(B29- 15.5)^2/74.9166666666667)</f>
        <v>2.6964725596198864</v>
      </c>
      <c r="D29" s="13">
        <f>SQRT($D$10^2 + C29^2)</f>
        <v>11.638748919928949</v>
      </c>
      <c r="E29" s="13">
        <f>30.5034482758621 + 0.515906562847608 * B29</f>
        <v>42.240322580645184</v>
      </c>
      <c r="F29" s="13">
        <f>E29 - $H$10*D29</f>
        <v>18.399426171501037</v>
      </c>
      <c r="G29" s="13">
        <f>E29 + $H$10*D29</f>
        <v>66.081218989789335</v>
      </c>
    </row>
    <row r="30" spans="1:7" outlineLevel="1" x14ac:dyDescent="0.2">
      <c r="B30" s="13">
        <v>30</v>
      </c>
      <c r="C30" s="13">
        <f>$D$10/SQRT($F$10)*SQRT(1+(B30- 15.5)^2/74.9166666666667)</f>
        <v>4.0329772927076677</v>
      </c>
      <c r="D30" s="13">
        <f>SQRT($D$10^2 + C30^2)</f>
        <v>12.018919169370427</v>
      </c>
      <c r="E30" s="13">
        <f>30.5034482758621 + 0.515906562847608 * B30</f>
        <v>45.98064516129034</v>
      </c>
      <c r="F30" s="13">
        <f>E30 - $H$10*D30</f>
        <v>21.361005298092188</v>
      </c>
      <c r="G30" s="13">
        <f>E30 + $H$10*D30</f>
        <v>70.6002850244885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3" t="s">
        <v>78</v>
      </c>
    </row>
    <row r="46" spans="1:6" ht="12" outlineLevel="1" thickBot="1" x14ac:dyDescent="0.25">
      <c r="A46" s="5" t="s">
        <v>42</v>
      </c>
      <c r="B46" s="5" t="s">
        <v>43</v>
      </c>
      <c r="C46" s="5" t="s">
        <v>44</v>
      </c>
      <c r="D46" s="5" t="s">
        <v>25</v>
      </c>
      <c r="E46" s="5" t="s">
        <v>46</v>
      </c>
      <c r="F46" s="5" t="s">
        <v>47</v>
      </c>
    </row>
    <row r="47" spans="1:6" outlineLevel="1" x14ac:dyDescent="0.2">
      <c r="A47" s="7">
        <v>16</v>
      </c>
      <c r="B47" s="7">
        <v>14</v>
      </c>
      <c r="C47" s="1">
        <v>0.2676500716648364</v>
      </c>
      <c r="D47" s="1">
        <v>0.685697605908415</v>
      </c>
      <c r="E47" s="6">
        <v>-1.9161077843325571</v>
      </c>
      <c r="F47" s="6">
        <v>1.9385864268658519</v>
      </c>
    </row>
    <row r="48" spans="1:6" outlineLevel="1" x14ac:dyDescent="0.2">
      <c r="A48" s="1" t="s">
        <v>45</v>
      </c>
    </row>
    <row r="50" spans="1:85" x14ac:dyDescent="0.2">
      <c r="A50" s="3" t="s">
        <v>79</v>
      </c>
    </row>
    <row r="51" spans="1:85" ht="12" outlineLevel="1" thickBot="1" x14ac:dyDescent="0.25">
      <c r="A51" s="5" t="s">
        <v>49</v>
      </c>
      <c r="B51" s="5" t="s">
        <v>50</v>
      </c>
      <c r="C51" s="5" t="s">
        <v>51</v>
      </c>
      <c r="D51" s="5" t="str">
        <f>IF($I$10&gt;99%,("Low"&amp;TEXT($I$10,"0.0%")&amp;"F"),("Lower"&amp;TEXT($I$10,"0%")&amp;"F"))</f>
        <v>Lower95%F</v>
      </c>
      <c r="E51" s="5" t="str">
        <f>IF($I$10&gt;99%,("Up"&amp;TEXT($I$10,"0.0%")&amp;"F"),("Upper"&amp;TEXT($I$10,"0%")&amp;"F"))</f>
        <v>Upper95%F</v>
      </c>
      <c r="F51" s="5" t="s">
        <v>52</v>
      </c>
      <c r="G51" s="5" t="str">
        <f>IF($I$10&gt;99%,("Low"&amp;TEXT($I$10,"0.0%")&amp;"M"),("Lower"&amp;TEXT($I$10,"0%")&amp;"M"))</f>
        <v>Lower95%M</v>
      </c>
      <c r="H51" s="5" t="str">
        <f>IF($I$10&gt;99%,("Up"&amp;TEXT($I$10,"0.0%")&amp;"M"),("Upper"&amp;TEXT($I$10,"0%")&amp;"M"))</f>
        <v>Upper95%M</v>
      </c>
      <c r="I51" s="9" t="s">
        <v>80</v>
      </c>
    </row>
    <row r="52" spans="1:85" outlineLevel="1" x14ac:dyDescent="0.2">
      <c r="A52" s="7">
        <v>31</v>
      </c>
      <c r="B52" s="1">
        <v>46.496551724137902</v>
      </c>
      <c r="C52" s="6">
        <f>SQRT($D$10^2 + F52^2)</f>
        <v>12.089892998352983</v>
      </c>
      <c r="D52" s="6">
        <f xml:space="preserve"> B52 - $H$10 * C52</f>
        <v>21.731528562771327</v>
      </c>
      <c r="E52" s="6">
        <f xml:space="preserve"> B52 + $H$10 * C52</f>
        <v>71.261574885504473</v>
      </c>
      <c r="F52" s="6">
        <f>$D$10/SQRT($F$10)*SQRT(1+(I52- 15.5)^2/74.9166666666667)</f>
        <v>4.2398113820381518</v>
      </c>
      <c r="G52" s="6">
        <f xml:space="preserve"> B52 - $H$10 * F52</f>
        <v>37.811691809306183</v>
      </c>
      <c r="H52" s="6">
        <f xml:space="preserve"> B52 + $H$10 * F52</f>
        <v>55.181411638969621</v>
      </c>
      <c r="I52" s="14">
        <v>31</v>
      </c>
      <c r="J52" s="14"/>
      <c r="CG52" s="1">
        <f xml:space="preserve"> $C$52 * $H$10</f>
        <v>24.765023161366575</v>
      </c>
    </row>
    <row r="53" spans="1:85" outlineLevel="1" x14ac:dyDescent="0.2">
      <c r="I53" s="14"/>
      <c r="J53" s="14"/>
    </row>
    <row r="54" spans="1:85" outlineLevel="1" x14ac:dyDescent="0.2"/>
    <row r="55" spans="1:85" outlineLevel="1" x14ac:dyDescent="0.2"/>
    <row r="56" spans="1:85" outlineLevel="1" x14ac:dyDescent="0.2"/>
    <row r="57" spans="1:85" outlineLevel="1" x14ac:dyDescent="0.2"/>
    <row r="58" spans="1:85" outlineLevel="1" x14ac:dyDescent="0.2"/>
    <row r="59" spans="1:85" outlineLevel="1" x14ac:dyDescent="0.2"/>
    <row r="60" spans="1:85" outlineLevel="1" x14ac:dyDescent="0.2"/>
    <row r="61" spans="1:85" outlineLevel="1" x14ac:dyDescent="0.2"/>
    <row r="62" spans="1:85" outlineLevel="1" x14ac:dyDescent="0.2"/>
    <row r="63" spans="1:85" outlineLevel="1" x14ac:dyDescent="0.2"/>
    <row r="64" spans="1:85" outlineLevel="1" x14ac:dyDescent="0.2"/>
    <row r="65" spans="1:1" outlineLevel="1" x14ac:dyDescent="0.2"/>
    <row r="66" spans="1:1" outlineLevel="1" x14ac:dyDescent="0.2"/>
    <row r="67" spans="1:1" outlineLevel="1" x14ac:dyDescent="0.2"/>
    <row r="68" spans="1:1" outlineLevel="1" x14ac:dyDescent="0.2"/>
    <row r="69" spans="1:1" outlineLevel="1" x14ac:dyDescent="0.2"/>
    <row r="70" spans="1:1" outlineLevel="1" x14ac:dyDescent="0.2"/>
    <row r="71" spans="1:1" outlineLevel="1" x14ac:dyDescent="0.2"/>
    <row r="72" spans="1:1" outlineLevel="1" x14ac:dyDescent="0.2"/>
    <row r="73" spans="1:1" outlineLevel="1" x14ac:dyDescent="0.2"/>
    <row r="74" spans="1:1" outlineLevel="1" x14ac:dyDescent="0.2"/>
    <row r="75" spans="1:1" outlineLevel="1" x14ac:dyDescent="0.2"/>
    <row r="76" spans="1:1" outlineLevel="1" x14ac:dyDescent="0.2"/>
    <row r="78" spans="1:1" x14ac:dyDescent="0.2">
      <c r="A78" s="3" t="s">
        <v>53</v>
      </c>
    </row>
    <row r="79" spans="1:1" outlineLevel="1" x14ac:dyDescent="0.2"/>
    <row r="80" spans="1:1" outlineLevel="1" x14ac:dyDescent="0.2"/>
    <row r="81" spans="3:3" outlineLevel="1" x14ac:dyDescent="0.2">
      <c r="C81" s="16" t="b">
        <v>0</v>
      </c>
    </row>
    <row r="82" spans="3:3" outlineLevel="1" x14ac:dyDescent="0.2"/>
    <row r="83" spans="3:3" outlineLevel="1" x14ac:dyDescent="0.2"/>
    <row r="84" spans="3:3" outlineLevel="1" x14ac:dyDescent="0.2"/>
    <row r="85" spans="3:3" outlineLevel="1" x14ac:dyDescent="0.2"/>
    <row r="86" spans="3:3" outlineLevel="1" x14ac:dyDescent="0.2"/>
    <row r="87" spans="3:3" outlineLevel="1" x14ac:dyDescent="0.2"/>
    <row r="88" spans="3:3" outlineLevel="1" x14ac:dyDescent="0.2"/>
    <row r="89" spans="3:3" outlineLevel="1" x14ac:dyDescent="0.2"/>
    <row r="90" spans="3:3" outlineLevel="1" x14ac:dyDescent="0.2"/>
    <row r="91" spans="3:3" outlineLevel="1" x14ac:dyDescent="0.2"/>
    <row r="92" spans="3:3" outlineLevel="1" x14ac:dyDescent="0.2"/>
    <row r="93" spans="3:3" outlineLevel="1" x14ac:dyDescent="0.2"/>
    <row r="94" spans="3:3" outlineLevel="1" x14ac:dyDescent="0.2"/>
    <row r="95" spans="3:3" outlineLevel="1" x14ac:dyDescent="0.2"/>
    <row r="96" spans="3:3" outlineLevel="1" x14ac:dyDescent="0.2"/>
    <row r="97" spans="1:1" outlineLevel="1" x14ac:dyDescent="0.2"/>
    <row r="98" spans="1:1" outlineLevel="1" x14ac:dyDescent="0.2"/>
    <row r="100" spans="1:1" x14ac:dyDescent="0.2">
      <c r="A100" s="3" t="s">
        <v>54</v>
      </c>
    </row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2" spans="1:1" x14ac:dyDescent="0.2">
      <c r="A122" s="3" t="s">
        <v>55</v>
      </c>
    </row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4" spans="1:1" x14ac:dyDescent="0.2">
      <c r="A144" s="3" t="s">
        <v>56</v>
      </c>
    </row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6" spans="1:1" x14ac:dyDescent="0.2">
      <c r="A166" s="3" t="s">
        <v>57</v>
      </c>
    </row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6" outlineLevel="1" x14ac:dyDescent="0.2"/>
    <row r="178" spans="1:6" outlineLevel="1" x14ac:dyDescent="0.2"/>
    <row r="179" spans="1:6" outlineLevel="1" x14ac:dyDescent="0.2"/>
    <row r="180" spans="1:6" outlineLevel="1" x14ac:dyDescent="0.2"/>
    <row r="181" spans="1:6" outlineLevel="1" x14ac:dyDescent="0.2"/>
    <row r="182" spans="1:6" outlineLevel="1" x14ac:dyDescent="0.2"/>
    <row r="183" spans="1:6" outlineLevel="1" x14ac:dyDescent="0.2"/>
    <row r="184" spans="1:6" outlineLevel="1" x14ac:dyDescent="0.2"/>
    <row r="185" spans="1:6" outlineLevel="1" x14ac:dyDescent="0.2"/>
    <row r="186" spans="1:6" outlineLevel="1" x14ac:dyDescent="0.2"/>
    <row r="188" spans="1:6" x14ac:dyDescent="0.2">
      <c r="A188" s="3" t="s">
        <v>81</v>
      </c>
    </row>
    <row r="189" spans="1:6" ht="12" hidden="1" outlineLevel="1" thickBot="1" x14ac:dyDescent="0.25">
      <c r="A189" s="5" t="s">
        <v>49</v>
      </c>
      <c r="B189" s="5" t="s">
        <v>59</v>
      </c>
      <c r="C189" s="5" t="s">
        <v>40</v>
      </c>
      <c r="D189" s="5" t="s">
        <v>31</v>
      </c>
      <c r="E189" s="5" t="s">
        <v>60</v>
      </c>
    </row>
    <row r="190" spans="1:6" ht="15" hidden="1" outlineLevel="1" x14ac:dyDescent="0.25">
      <c r="A190" s="7">
        <v>3</v>
      </c>
      <c r="B190" s="6">
        <v>54</v>
      </c>
      <c r="C190" s="6">
        <v>32.051167964404875</v>
      </c>
      <c r="D190" s="6">
        <f>B190 - C190</f>
        <v>21.948832035595125</v>
      </c>
      <c r="E190" s="1">
        <f>D190 /11.3220807344041</f>
        <v>1.9385864268658501</v>
      </c>
      <c r="F190"/>
    </row>
    <row r="191" spans="1:6" ht="15" hidden="1" outlineLevel="1" x14ac:dyDescent="0.25">
      <c r="A191" s="7">
        <v>12</v>
      </c>
      <c r="B191" s="6">
        <v>15</v>
      </c>
      <c r="C191" s="6">
        <v>36.69432703003335</v>
      </c>
      <c r="D191" s="6">
        <f>B191 - C191</f>
        <v>-21.69432703003335</v>
      </c>
      <c r="E191" s="1">
        <f>D191 /11.3220807344041</f>
        <v>-1.9161077843325551</v>
      </c>
      <c r="F191"/>
    </row>
    <row r="192" spans="1:6" ht="15" hidden="1" outlineLevel="1" x14ac:dyDescent="0.25">
      <c r="A192" s="7">
        <v>28</v>
      </c>
      <c r="B192" s="6">
        <v>64</v>
      </c>
      <c r="C192" s="6">
        <v>44.948832035595082</v>
      </c>
      <c r="D192" s="6">
        <f>B192 - C192</f>
        <v>19.051167964404918</v>
      </c>
      <c r="E192" s="1">
        <f>D192 /11.3220807344041</f>
        <v>1.6826560780930178</v>
      </c>
      <c r="F192"/>
    </row>
    <row r="193" spans="1:6" ht="15" hidden="1" outlineLevel="1" x14ac:dyDescent="0.25">
      <c r="A193" s="7">
        <v>20</v>
      </c>
      <c r="B193" s="6">
        <v>58</v>
      </c>
      <c r="C193" s="6">
        <v>40.821579532814212</v>
      </c>
      <c r="D193" s="6">
        <f>B193 - C193</f>
        <v>17.178420467185788</v>
      </c>
      <c r="E193" s="1">
        <f>D193 /11.3220807344041</f>
        <v>1.5172494235080118</v>
      </c>
      <c r="F193"/>
    </row>
    <row r="194" spans="1:6" ht="15" hidden="1" outlineLevel="1" x14ac:dyDescent="0.25">
      <c r="A194" s="7">
        <v>30</v>
      </c>
      <c r="B194" s="6">
        <v>29</v>
      </c>
      <c r="C194" s="6">
        <v>45.980645161290298</v>
      </c>
      <c r="D194" s="6">
        <f>B194 - C194</f>
        <v>-16.980645161290298</v>
      </c>
      <c r="E194" s="1">
        <f>D194 /11.3220807344041</f>
        <v>-1.4997813175533778</v>
      </c>
      <c r="F194"/>
    </row>
    <row r="195" spans="1:6" ht="15" hidden="1" outlineLevel="1" x14ac:dyDescent="0.25">
      <c r="A195" s="7">
        <v>13</v>
      </c>
      <c r="B195" s="6">
        <v>23</v>
      </c>
      <c r="C195" s="6">
        <v>37.210233592880961</v>
      </c>
      <c r="D195" s="6">
        <f>B195 - C195</f>
        <v>-14.210233592880961</v>
      </c>
      <c r="E195" s="1">
        <f>D195 /11.3220807344041</f>
        <v>-1.2550902900471914</v>
      </c>
      <c r="F195"/>
    </row>
    <row r="196" spans="1:6" ht="15" hidden="1" outlineLevel="1" x14ac:dyDescent="0.25">
      <c r="A196" s="7">
        <v>18</v>
      </c>
      <c r="B196" s="6">
        <v>26</v>
      </c>
      <c r="C196" s="6">
        <v>39.789766407118996</v>
      </c>
      <c r="D196" s="6">
        <f>B196 - C196</f>
        <v>-13.789766407118996</v>
      </c>
      <c r="E196" s="1">
        <f>D196 /11.3220807344041</f>
        <v>-1.2179533718759314</v>
      </c>
      <c r="F196"/>
    </row>
    <row r="197" spans="1:6" ht="15" hidden="1" outlineLevel="1" x14ac:dyDescent="0.25">
      <c r="A197" s="7">
        <v>9</v>
      </c>
      <c r="B197" s="6">
        <v>23</v>
      </c>
      <c r="C197" s="6">
        <v>35.146607341490522</v>
      </c>
      <c r="D197" s="6">
        <f>B197 - C197</f>
        <v>-12.146607341490522</v>
      </c>
      <c r="E197" s="1">
        <f>D197 /11.3220807344041</f>
        <v>-1.0728246535622163</v>
      </c>
      <c r="F197"/>
    </row>
    <row r="198" spans="1:6" ht="15" hidden="1" outlineLevel="1" x14ac:dyDescent="0.25">
      <c r="A198" s="7">
        <v>24</v>
      </c>
      <c r="B198" s="6">
        <v>55</v>
      </c>
      <c r="C198" s="6">
        <v>42.885205784204643</v>
      </c>
      <c r="D198" s="6">
        <f>B198 - C198</f>
        <v>12.114794215795357</v>
      </c>
      <c r="E198" s="1">
        <f>D198 /11.3220807344041</f>
        <v>1.0700148232455595</v>
      </c>
      <c r="F198"/>
    </row>
    <row r="199" spans="1:6" ht="15" hidden="1" outlineLevel="1" x14ac:dyDescent="0.25">
      <c r="A199" s="7">
        <v>25</v>
      </c>
      <c r="B199" s="6">
        <v>55</v>
      </c>
      <c r="C199" s="6">
        <v>43.401112347052255</v>
      </c>
      <c r="D199" s="6">
        <f>B199 - C199</f>
        <v>11.598887652947745</v>
      </c>
      <c r="E199" s="1">
        <f>D199 /11.3220807344041</f>
        <v>1.0244484141243155</v>
      </c>
      <c r="F199"/>
    </row>
    <row r="200" spans="1:6" ht="15" hidden="1" outlineLevel="1" x14ac:dyDescent="0.25">
      <c r="A200" s="7">
        <v>17</v>
      </c>
      <c r="B200" s="6">
        <v>50</v>
      </c>
      <c r="C200" s="6">
        <v>39.273859844271392</v>
      </c>
      <c r="D200" s="6">
        <f>B200 - C200</f>
        <v>10.726140155728608</v>
      </c>
      <c r="E200" s="1">
        <f>D200 /11.3220807344041</f>
        <v>0.94736474746513477</v>
      </c>
      <c r="F200"/>
    </row>
    <row r="201" spans="1:6" ht="15" hidden="1" outlineLevel="1" x14ac:dyDescent="0.25">
      <c r="A201" s="7">
        <v>2</v>
      </c>
      <c r="B201" s="6">
        <v>42</v>
      </c>
      <c r="C201" s="6">
        <v>31.535261401557268</v>
      </c>
      <c r="D201" s="6">
        <f>B201 - C201</f>
        <v>10.464738598442732</v>
      </c>
      <c r="E201" s="1">
        <f>D201 /11.3220807344041</f>
        <v>0.92427698087718235</v>
      </c>
      <c r="F201"/>
    </row>
    <row r="202" spans="1:6" ht="15" hidden="1" outlineLevel="1" x14ac:dyDescent="0.25">
      <c r="A202" s="7">
        <v>7</v>
      </c>
      <c r="B202" s="6">
        <v>24</v>
      </c>
      <c r="C202" s="6">
        <v>34.114794215795307</v>
      </c>
      <c r="D202" s="6">
        <f>B202 - C202</f>
        <v>-10.114794215795307</v>
      </c>
      <c r="E202" s="1">
        <f>D202 /11.3220807344041</f>
        <v>-0.8933688473939031</v>
      </c>
      <c r="F202"/>
    </row>
    <row r="203" spans="1:6" ht="15" hidden="1" outlineLevel="1" x14ac:dyDescent="0.25">
      <c r="A203" s="7">
        <v>27</v>
      </c>
      <c r="B203" s="6">
        <v>35</v>
      </c>
      <c r="C203" s="6">
        <v>44.432925472747471</v>
      </c>
      <c r="D203" s="6">
        <f>B203 - C203</f>
        <v>-9.4329254727474705</v>
      </c>
      <c r="E203" s="1">
        <f>D203 /11.3220807344041</f>
        <v>-0.83314416263469093</v>
      </c>
      <c r="F203"/>
    </row>
    <row r="204" spans="1:6" ht="15" hidden="1" outlineLevel="1" x14ac:dyDescent="0.25">
      <c r="A204" s="7">
        <v>29</v>
      </c>
      <c r="B204" s="6">
        <v>38</v>
      </c>
      <c r="C204" s="6">
        <v>45.464738598442686</v>
      </c>
      <c r="D204" s="6">
        <f>B204 - C204</f>
        <v>-7.4647385984426862</v>
      </c>
      <c r="E204" s="1">
        <f>D204 /11.3220807344041</f>
        <v>-0.65930801709970033</v>
      </c>
      <c r="F204"/>
    </row>
    <row r="205" spans="1:6" ht="15" hidden="1" outlineLevel="1" x14ac:dyDescent="0.25">
      <c r="A205" s="7">
        <v>16</v>
      </c>
      <c r="B205" s="6">
        <v>46</v>
      </c>
      <c r="C205" s="6">
        <v>38.757953281423781</v>
      </c>
      <c r="D205" s="6">
        <f>B205 - C205</f>
        <v>7.2420467185762192</v>
      </c>
      <c r="E205" s="1">
        <f>D205 /11.3220807344041</f>
        <v>0.63963920488307491</v>
      </c>
      <c r="F205"/>
    </row>
    <row r="206" spans="1:6" ht="15" hidden="1" outlineLevel="1" x14ac:dyDescent="0.25">
      <c r="A206" s="7">
        <v>21</v>
      </c>
      <c r="B206" s="6">
        <v>48</v>
      </c>
      <c r="C206" s="6">
        <v>41.337486095661824</v>
      </c>
      <c r="D206" s="6">
        <f>B206 - C206</f>
        <v>6.6625139043381765</v>
      </c>
      <c r="E206" s="1">
        <f>D206 /11.3220807344041</f>
        <v>0.58845313512850828</v>
      </c>
      <c r="F206"/>
    </row>
    <row r="207" spans="1:6" ht="15" hidden="1" outlineLevel="1" x14ac:dyDescent="0.25">
      <c r="A207" s="7">
        <v>4</v>
      </c>
      <c r="B207" s="6">
        <v>26</v>
      </c>
      <c r="C207" s="6">
        <v>32.567074527252487</v>
      </c>
      <c r="D207" s="6">
        <f>B207 - C207</f>
        <v>-6.5670745272524869</v>
      </c>
      <c r="E207" s="1">
        <f>D207 /11.3220807344041</f>
        <v>-0.58002364417852059</v>
      </c>
      <c r="F207"/>
    </row>
    <row r="208" spans="1:6" ht="15" hidden="1" outlineLevel="1" x14ac:dyDescent="0.25">
      <c r="A208" s="7">
        <v>23</v>
      </c>
      <c r="B208" s="6">
        <v>36</v>
      </c>
      <c r="C208" s="6">
        <v>42.369299221357039</v>
      </c>
      <c r="D208" s="6">
        <f>B208 - C208</f>
        <v>-6.3692992213570392</v>
      </c>
      <c r="E208" s="1">
        <f>D208 /11.3220807344041</f>
        <v>-0.56255553822389048</v>
      </c>
      <c r="F208"/>
    </row>
    <row r="209" spans="1:6" ht="15" hidden="1" outlineLevel="1" x14ac:dyDescent="0.25">
      <c r="A209" s="7">
        <v>15</v>
      </c>
      <c r="B209" s="6">
        <v>32</v>
      </c>
      <c r="C209" s="6">
        <v>38.242046718576177</v>
      </c>
      <c r="D209" s="6">
        <f>B209 - C209</f>
        <v>-6.2420467185761765</v>
      </c>
      <c r="E209" s="1">
        <f>D209 /11.3220807344041</f>
        <v>-0.5513162169572452</v>
      </c>
      <c r="F209"/>
    </row>
    <row r="210" spans="1:6" ht="15" hidden="1" outlineLevel="1" x14ac:dyDescent="0.25">
      <c r="A210" s="7">
        <v>11</v>
      </c>
      <c r="B210" s="6">
        <v>30</v>
      </c>
      <c r="C210" s="6">
        <v>36.178420467185745</v>
      </c>
      <c r="D210" s="6">
        <f>B210 - C210</f>
        <v>-6.1784204671857452</v>
      </c>
      <c r="E210" s="1">
        <f>D210 /11.3220807344041</f>
        <v>-0.54569655632392255</v>
      </c>
      <c r="F210"/>
    </row>
    <row r="211" spans="1:6" ht="15" hidden="1" outlineLevel="1" x14ac:dyDescent="0.25">
      <c r="A211" s="7">
        <v>1</v>
      </c>
      <c r="B211" s="6">
        <v>25</v>
      </c>
      <c r="C211" s="6">
        <v>31.01935483870966</v>
      </c>
      <c r="D211" s="6">
        <f>B211 - C211</f>
        <v>-6.0193548387096598</v>
      </c>
      <c r="E211" s="1">
        <f>D211 /11.3220807344041</f>
        <v>-0.53164740474061534</v>
      </c>
      <c r="F211"/>
    </row>
    <row r="212" spans="1:6" ht="15" hidden="1" outlineLevel="1" x14ac:dyDescent="0.25">
      <c r="A212" s="7">
        <v>5</v>
      </c>
      <c r="B212" s="6">
        <v>39</v>
      </c>
      <c r="C212" s="6">
        <v>33.082981090100091</v>
      </c>
      <c r="D212" s="6">
        <f>B212 - C212</f>
        <v>5.9170189098999089</v>
      </c>
      <c r="E212" s="1">
        <f>D212 /11.3220807344041</f>
        <v>0.52260878973597347</v>
      </c>
      <c r="F212"/>
    </row>
    <row r="213" spans="1:6" ht="15" hidden="1" outlineLevel="1" x14ac:dyDescent="0.25">
      <c r="A213" s="7">
        <v>10</v>
      </c>
      <c r="B213" s="6">
        <v>40</v>
      </c>
      <c r="C213" s="6">
        <v>35.662513904338134</v>
      </c>
      <c r="D213" s="6">
        <f>B213 - C213</f>
        <v>4.3374860956618662</v>
      </c>
      <c r="E213" s="1">
        <f>D213 /11.3220807344041</f>
        <v>0.38309973205558095</v>
      </c>
      <c r="F213"/>
    </row>
    <row r="214" spans="1:6" ht="15" hidden="1" outlineLevel="1" x14ac:dyDescent="0.25">
      <c r="A214" s="7">
        <v>22</v>
      </c>
      <c r="B214" s="6">
        <v>46</v>
      </c>
      <c r="C214" s="6">
        <v>41.853392658509435</v>
      </c>
      <c r="D214" s="6">
        <f>B214 - C214</f>
        <v>4.1466073414905651</v>
      </c>
      <c r="E214" s="1">
        <f>D214 /11.3220807344041</f>
        <v>0.36624075015561247</v>
      </c>
      <c r="F214"/>
    </row>
    <row r="215" spans="1:6" ht="15" hidden="1" outlineLevel="1" x14ac:dyDescent="0.25">
      <c r="A215" s="7">
        <v>19</v>
      </c>
      <c r="B215" s="6">
        <v>44</v>
      </c>
      <c r="C215" s="6">
        <v>40.305672969966608</v>
      </c>
      <c r="D215" s="6">
        <f>B215 - C215</f>
        <v>3.6943270300333921</v>
      </c>
      <c r="E215" s="1">
        <f>D215 /11.3220807344041</f>
        <v>0.32629400166769174</v>
      </c>
      <c r="F215"/>
    </row>
    <row r="216" spans="1:6" ht="15" hidden="1" outlineLevel="1" x14ac:dyDescent="0.25">
      <c r="A216" s="7">
        <v>26</v>
      </c>
      <c r="B216" s="6">
        <v>41</v>
      </c>
      <c r="C216" s="6">
        <v>43.917018909899866</v>
      </c>
      <c r="D216" s="6">
        <f>B216 - C216</f>
        <v>-2.9170189098998662</v>
      </c>
      <c r="E216" s="1">
        <f>D216 /11.3220807344041</f>
        <v>-0.25763982595849189</v>
      </c>
      <c r="F216"/>
    </row>
    <row r="217" spans="1:6" ht="15" hidden="1" outlineLevel="1" x14ac:dyDescent="0.25">
      <c r="A217" s="7">
        <v>8</v>
      </c>
      <c r="B217" s="6">
        <v>37</v>
      </c>
      <c r="C217" s="6">
        <v>34.630700778642918</v>
      </c>
      <c r="D217" s="6">
        <f>B217 - C217</f>
        <v>2.3692992213570818</v>
      </c>
      <c r="E217" s="1">
        <f>D217 /11.3220807344041</f>
        <v>0.20926358652059038</v>
      </c>
      <c r="F217"/>
    </row>
    <row r="218" spans="1:6" ht="15" hidden="1" outlineLevel="1" x14ac:dyDescent="0.25">
      <c r="A218" s="7">
        <v>14</v>
      </c>
      <c r="B218" s="6">
        <v>40</v>
      </c>
      <c r="C218" s="6">
        <v>37.726140155728565</v>
      </c>
      <c r="D218" s="6">
        <f>B218 - C218</f>
        <v>2.2738598442714348</v>
      </c>
      <c r="E218" s="1">
        <f>D218 /11.3220807344041</f>
        <v>0.20083409557060644</v>
      </c>
      <c r="F218"/>
    </row>
    <row r="219" spans="1:6" ht="15" hidden="1" outlineLevel="1" x14ac:dyDescent="0.25">
      <c r="A219" s="7">
        <v>6</v>
      </c>
      <c r="B219" s="6">
        <v>34</v>
      </c>
      <c r="C219" s="6">
        <v>33.598887652947703</v>
      </c>
      <c r="D219" s="6">
        <f>B219 - C219</f>
        <v>0.40111234705229748</v>
      </c>
      <c r="E219" s="1">
        <f>D219 /11.3220807344041</f>
        <v>3.542744098559978E-2</v>
      </c>
      <c r="F219"/>
    </row>
    <row r="220" spans="1:6" collapsed="1" x14ac:dyDescent="0.2"/>
  </sheetData>
  <sortState ref="A190:F219">
    <sortCondition descending="1" ref="F190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20"/>
  <sheetViews>
    <sheetView showGridLines="0" showRowColHeaders="0" workbookViewId="0">
      <selection activeCell="B1" sqref="B1"/>
    </sheetView>
  </sheetViews>
  <sheetFormatPr defaultRowHeight="11.25" outlineLevelRow="1" x14ac:dyDescent="0.2"/>
  <cols>
    <col min="1" max="1" width="8.85546875" style="1" customWidth="1"/>
    <col min="2" max="7" width="9.140625" style="1"/>
    <col min="8" max="8" width="9.28515625" style="1" bestFit="1" customWidth="1"/>
    <col min="9" max="77" width="9.140625" style="1"/>
    <col min="78" max="78" width="38.5703125" style="1" bestFit="1" customWidth="1"/>
    <col min="79" max="16384" width="9.140625" style="1"/>
  </cols>
  <sheetData>
    <row r="1" spans="1:78" ht="15" x14ac:dyDescent="0.25">
      <c r="A1" s="2" t="s">
        <v>3</v>
      </c>
      <c r="B1" s="1" t="s">
        <v>84</v>
      </c>
      <c r="E1"/>
      <c r="Z1" s="15" t="s">
        <v>85</v>
      </c>
      <c r="BZ1"/>
    </row>
    <row r="2" spans="1:78" x14ac:dyDescent="0.2">
      <c r="A2" s="2" t="s">
        <v>6</v>
      </c>
      <c r="C2" s="1" t="s">
        <v>70</v>
      </c>
      <c r="AA2" s="15" t="str">
        <f>"Forecasts and " &amp; TEXT($I$10, "0.0%") &amp; " confidence limits for means and forecasts
Linear trend  model for X2_    (1 variable, n=30)"</f>
        <v>Forecasts and 95.0% confidence limits for means and forecasts
Linear trend  model for X2_    (1 variable, n=30)</v>
      </c>
    </row>
    <row r="3" spans="1:78" ht="11.25" hidden="1" customHeight="1" outlineLevel="1" x14ac:dyDescent="0.2">
      <c r="A3" s="2" t="s">
        <v>8</v>
      </c>
      <c r="AA3" s="15" t="str">
        <f>IF($A$52 &lt;&gt; "","Actual and predicted -vs- Observation # with " &amp; TEXT($I$10, "0.0%") &amp; " confidence limits
Linear trend  model for X2_    (1 variable, n=30)","Actual and predicted -vs- Observation #
Linear trend  model for X2_    (1 variable, n=30)")</f>
        <v>Actual and predicted -vs- Observation # with 95.0% confidence limits
Linear trend  model for X2_    (1 variable, n=30)</v>
      </c>
    </row>
    <row r="4" spans="1:78" hidden="1" outlineLevel="1" x14ac:dyDescent="0.2">
      <c r="A4" s="1" t="s">
        <v>0</v>
      </c>
    </row>
    <row r="5" spans="1:78" hidden="1" outlineLevel="1" x14ac:dyDescent="0.2">
      <c r="A5" s="2" t="s">
        <v>10</v>
      </c>
    </row>
    <row r="6" spans="1:78" hidden="1" outlineLevel="1" x14ac:dyDescent="0.2">
      <c r="A6" s="1" t="s">
        <v>86</v>
      </c>
    </row>
    <row r="7" spans="1:78" collapsed="1" x14ac:dyDescent="0.2"/>
    <row r="8" spans="1:78" x14ac:dyDescent="0.2">
      <c r="A8" s="3" t="s">
        <v>87</v>
      </c>
    </row>
    <row r="9" spans="1:78" ht="12" outlineLevel="1" thickBot="1" x14ac:dyDescent="0.25">
      <c r="A9" s="4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tr">
        <f>"t("&amp;TEXT((1-I10)/2,"0.00%") &amp; ",28)"</f>
        <v>t(2.50%,28)</v>
      </c>
      <c r="I9" s="5" t="s">
        <v>19</v>
      </c>
    </row>
    <row r="10" spans="1:78" outlineLevel="1" x14ac:dyDescent="0.2">
      <c r="B10" s="6">
        <f xml:space="preserve"> 1 - C20 / C21</f>
        <v>0.91978689241890288</v>
      </c>
      <c r="C10" s="6">
        <f>1-D10^2/E10^2</f>
        <v>0.91692213857672078</v>
      </c>
      <c r="D10" s="6">
        <f xml:space="preserve"> SQRT(D20)</f>
        <v>2.2772931037752135</v>
      </c>
      <c r="E10" s="6">
        <v>7.900894755091632</v>
      </c>
      <c r="F10" s="7">
        <v>30</v>
      </c>
      <c r="G10" s="7">
        <v>1</v>
      </c>
      <c r="H10" s="1">
        <f>TINV(1 - $I$10, F10 - 1 - 1)</f>
        <v>2.0484071417952445</v>
      </c>
      <c r="I10" s="8">
        <v>0.95</v>
      </c>
    </row>
    <row r="12" spans="1:78" x14ac:dyDescent="0.2">
      <c r="A12" s="3" t="s">
        <v>88</v>
      </c>
    </row>
    <row r="13" spans="1:78" ht="12" outlineLevel="1" thickBot="1" x14ac:dyDescent="0.25">
      <c r="A13" s="9" t="s">
        <v>21</v>
      </c>
      <c r="B13" s="5" t="s">
        <v>22</v>
      </c>
      <c r="C13" s="5" t="s">
        <v>23</v>
      </c>
      <c r="D13" s="5" t="s">
        <v>24</v>
      </c>
      <c r="E13" s="5" t="s">
        <v>25</v>
      </c>
      <c r="F13" s="5" t="str">
        <f>IF($I$10&gt;99%,("Lower"&amp;TEXT($I$10,"0.0%")),("Lower"&amp;TEXT($I$10,"0%")))</f>
        <v>Lower95%</v>
      </c>
      <c r="G13" s="5" t="str">
        <f>IF($I$10&gt;99%,("Upper"&amp;TEXT($I$10,"0.0%")),("Upper"&amp;TEXT($I$10,"0%")))</f>
        <v>Upper95%</v>
      </c>
      <c r="H13" s="5" t="s">
        <v>16</v>
      </c>
      <c r="I13" s="5" t="s">
        <v>26</v>
      </c>
    </row>
    <row r="14" spans="1:78" outlineLevel="1" x14ac:dyDescent="0.2">
      <c r="A14" s="1" t="s">
        <v>27</v>
      </c>
      <c r="B14" s="6">
        <v>14.958620689655163</v>
      </c>
      <c r="C14" s="6">
        <v>0.85278434663373082</v>
      </c>
      <c r="D14" s="6">
        <f>(B14 - 0) / C14</f>
        <v>17.540918461628213</v>
      </c>
      <c r="E14" s="6">
        <f>TDIST(ABS(D14),$F$10 - 2,2)</f>
        <v>1.2282182590783859E-16</v>
      </c>
      <c r="F14" s="6">
        <f>B14 - TINV(1 - $I$10, $F$10 - 2) * C14</f>
        <v>13.211771143599437</v>
      </c>
      <c r="G14" s="6">
        <f>B14 + TINV(1 - $I$10, $F$10 - 2) * C14</f>
        <v>16.705470235710887</v>
      </c>
    </row>
    <row r="15" spans="1:78" outlineLevel="1" x14ac:dyDescent="0.2">
      <c r="A15" s="1" t="s">
        <v>0</v>
      </c>
      <c r="B15" s="6">
        <v>0.86073414905450463</v>
      </c>
      <c r="C15" s="6">
        <v>4.8036248273211159E-2</v>
      </c>
      <c r="D15" s="6">
        <f>(B15 - 0) / C15</f>
        <v>17.918429935639221</v>
      </c>
      <c r="E15" s="6">
        <f>TDIST(ABS(D15),$F$10 - 2,2)</f>
        <v>7.0928590640022483E-17</v>
      </c>
      <c r="F15" s="6">
        <f>B15 - TINV(1 - $I$10, $F$10 - 2) * C15</f>
        <v>0.76233635502660935</v>
      </c>
      <c r="G15" s="6">
        <f>B15 + TINV(1 - $I$10, $F$10 - 2) * C15</f>
        <v>0.95913194308239991</v>
      </c>
      <c r="H15" s="6">
        <v>8.8034084308295046</v>
      </c>
      <c r="I15" s="1">
        <f>B15*H15/$E$10</f>
        <v>0.95905520822260404</v>
      </c>
    </row>
    <row r="17" spans="1:7" x14ac:dyDescent="0.2">
      <c r="A17" s="3" t="s">
        <v>89</v>
      </c>
    </row>
    <row r="18" spans="1:7" ht="12" hidden="1" outlineLevel="1" thickBot="1" x14ac:dyDescent="0.25">
      <c r="A18" s="9" t="s">
        <v>29</v>
      </c>
      <c r="B18" s="5" t="s">
        <v>33</v>
      </c>
      <c r="C18" s="5" t="s">
        <v>34</v>
      </c>
      <c r="D18" s="5" t="s">
        <v>35</v>
      </c>
      <c r="E18" s="5" t="s">
        <v>36</v>
      </c>
      <c r="F18" s="5" t="s">
        <v>25</v>
      </c>
    </row>
    <row r="19" spans="1:7" hidden="1" outlineLevel="1" x14ac:dyDescent="0.2">
      <c r="A19" s="1" t="s">
        <v>30</v>
      </c>
      <c r="B19" s="7">
        <v>1</v>
      </c>
      <c r="C19" s="11">
        <f>C21 - C20</f>
        <v>1665.0902113459401</v>
      </c>
      <c r="D19" s="11">
        <f>C19/B19</f>
        <v>1665.0902113459401</v>
      </c>
      <c r="E19" s="6">
        <f>D19/D20</f>
        <v>321.07013135841214</v>
      </c>
      <c r="F19" s="6">
        <f>FDIST(E19,1,28)</f>
        <v>7.0928590640021473E-17</v>
      </c>
    </row>
    <row r="20" spans="1:7" hidden="1" outlineLevel="1" x14ac:dyDescent="0.2">
      <c r="A20" s="1" t="s">
        <v>31</v>
      </c>
      <c r="B20" s="7">
        <v>28</v>
      </c>
      <c r="C20" s="6">
        <v>145.20978865406005</v>
      </c>
      <c r="D20" s="6">
        <f>C20/B20</f>
        <v>5.1860638805021448</v>
      </c>
    </row>
    <row r="21" spans="1:7" hidden="1" outlineLevel="1" x14ac:dyDescent="0.2">
      <c r="A21" s="1" t="s">
        <v>32</v>
      </c>
      <c r="B21" s="7">
        <f>B19 + B20</f>
        <v>29</v>
      </c>
      <c r="C21" s="11">
        <v>1810.3000000000002</v>
      </c>
    </row>
    <row r="22" spans="1:7" collapsed="1" x14ac:dyDescent="0.2"/>
    <row r="23" spans="1:7" x14ac:dyDescent="0.2">
      <c r="A23" s="3" t="s">
        <v>37</v>
      </c>
    </row>
    <row r="24" spans="1:7" outlineLevel="1" x14ac:dyDescent="0.2"/>
    <row r="25" spans="1:7" outlineLevel="1" x14ac:dyDescent="0.2">
      <c r="B25" s="13" t="s">
        <v>0</v>
      </c>
      <c r="C25" s="13" t="s">
        <v>38</v>
      </c>
      <c r="D25" s="13" t="s">
        <v>39</v>
      </c>
      <c r="E25" s="13" t="s">
        <v>40</v>
      </c>
      <c r="F25" s="13" t="str">
        <f>IF($I$10&gt;99%,("Lower "&amp;TEXT($I$10,"0.0%")),("Lower "&amp;TEXT($I$10,"0%")))</f>
        <v>Lower 95%</v>
      </c>
      <c r="G25" s="13" t="str">
        <f>IF($I$10&gt;99%,("Upper "&amp;TEXT($I$10,"0.0%")),("Upper "&amp;TEXT($I$10,"0%")))</f>
        <v>Upper 95%</v>
      </c>
    </row>
    <row r="26" spans="1:7" outlineLevel="1" x14ac:dyDescent="0.2">
      <c r="B26" s="13">
        <v>1</v>
      </c>
      <c r="C26" s="13">
        <f>$D$10/SQRT($F$10)*SQRT(1+(B26- 15.5)^2/74.9166666666667)</f>
        <v>0.81118228988221364</v>
      </c>
      <c r="D26" s="13">
        <f>SQRT($D$10^2 + C26^2)</f>
        <v>2.4174533269373986</v>
      </c>
      <c r="E26" s="13">
        <f>14.9586206896552 + 0.860734149054505 * B26</f>
        <v>15.819354838709705</v>
      </c>
      <c r="F26" s="13">
        <f>E26 - $H$10*D26</f>
        <v>10.867426178854464</v>
      </c>
      <c r="G26" s="13">
        <f>E26 + $H$10*D26</f>
        <v>20.771283498564948</v>
      </c>
    </row>
    <row r="27" spans="1:7" outlineLevel="1" x14ac:dyDescent="0.2">
      <c r="B27" s="13">
        <v>8.25</v>
      </c>
      <c r="C27" s="13">
        <f>$D$10/SQRT($F$10)*SQRT(1+(B27- 15.5)^2/74.9166666666667)</f>
        <v>0.54236129458801863</v>
      </c>
      <c r="D27" s="13">
        <f>SQRT($D$10^2 + C27^2)</f>
        <v>2.340986897521927</v>
      </c>
      <c r="E27" s="13">
        <f>14.9586206896552 + 0.860734149054505 * B27</f>
        <v>22.059677419354866</v>
      </c>
      <c r="F27" s="13">
        <f>E27 - $H$10*D27</f>
        <v>17.264383139621859</v>
      </c>
      <c r="G27" s="13">
        <f>E27 + $H$10*D27</f>
        <v>26.854971699087873</v>
      </c>
    </row>
    <row r="28" spans="1:7" outlineLevel="1" x14ac:dyDescent="0.2">
      <c r="B28" s="13">
        <v>15.5</v>
      </c>
      <c r="C28" s="13">
        <f>$D$10/SQRT($F$10)*SQRT(1+(B28- 15.5)^2/74.9166666666667)</f>
        <v>0.41577493432954588</v>
      </c>
      <c r="D28" s="13">
        <f>SQRT($D$10^2 + C28^2)</f>
        <v>2.3149368623180382</v>
      </c>
      <c r="E28" s="13">
        <f>14.9586206896552 + 0.860734149054505 * B28</f>
        <v>28.300000000000026</v>
      </c>
      <c r="F28" s="13">
        <f>E28 - $H$10*D28</f>
        <v>23.558066798422679</v>
      </c>
      <c r="G28" s="13">
        <f>E28 + $H$10*D28</f>
        <v>33.041933201577372</v>
      </c>
    </row>
    <row r="29" spans="1:7" outlineLevel="1" x14ac:dyDescent="0.2">
      <c r="B29" s="13">
        <v>22.75</v>
      </c>
      <c r="C29" s="13">
        <f>$D$10/SQRT($F$10)*SQRT(1+(B29- 15.5)^2/74.9166666666667)</f>
        <v>0.54236129458801863</v>
      </c>
      <c r="D29" s="13">
        <f>SQRT($D$10^2 + C29^2)</f>
        <v>2.340986897521927</v>
      </c>
      <c r="E29" s="13">
        <f>14.9586206896552 + 0.860734149054505 * B29</f>
        <v>34.540322580645189</v>
      </c>
      <c r="F29" s="13">
        <f>E29 - $H$10*D29</f>
        <v>29.745028300912182</v>
      </c>
      <c r="G29" s="13">
        <f>E29 + $H$10*D29</f>
        <v>39.335616860378195</v>
      </c>
    </row>
    <row r="30" spans="1:7" outlineLevel="1" x14ac:dyDescent="0.2">
      <c r="B30" s="13">
        <v>30</v>
      </c>
      <c r="C30" s="13">
        <f>$D$10/SQRT($F$10)*SQRT(1+(B30- 15.5)^2/74.9166666666667)</f>
        <v>0.81118228988221364</v>
      </c>
      <c r="D30" s="13">
        <f>SQRT($D$10^2 + C30^2)</f>
        <v>2.4174533269373986</v>
      </c>
      <c r="E30" s="13">
        <f>14.9586206896552 + 0.860734149054505 * B30</f>
        <v>40.780645161290352</v>
      </c>
      <c r="F30" s="13">
        <f>E30 - $H$10*D30</f>
        <v>35.82871650143511</v>
      </c>
      <c r="G30" s="13">
        <f>E30 + $H$10*D30</f>
        <v>45.732573821145593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3" t="s">
        <v>90</v>
      </c>
    </row>
    <row r="46" spans="1:6" ht="12" outlineLevel="1" thickBot="1" x14ac:dyDescent="0.25">
      <c r="A46" s="5" t="s">
        <v>42</v>
      </c>
      <c r="B46" s="5" t="s">
        <v>43</v>
      </c>
      <c r="C46" s="5" t="s">
        <v>44</v>
      </c>
      <c r="D46" s="5" t="s">
        <v>25</v>
      </c>
      <c r="E46" s="5" t="s">
        <v>46</v>
      </c>
      <c r="F46" s="5" t="s">
        <v>47</v>
      </c>
    </row>
    <row r="47" spans="1:6" outlineLevel="1" x14ac:dyDescent="0.2">
      <c r="A47" s="7">
        <v>15</v>
      </c>
      <c r="B47" s="7">
        <v>15</v>
      </c>
      <c r="C47" s="1">
        <v>0.39799473159946519</v>
      </c>
      <c r="D47" s="1">
        <v>0.36644340516514012</v>
      </c>
      <c r="E47" s="6">
        <v>-1.7603789208215761</v>
      </c>
      <c r="F47" s="6">
        <v>1.8357958202041762</v>
      </c>
    </row>
    <row r="48" spans="1:6" outlineLevel="1" x14ac:dyDescent="0.2">
      <c r="A48" s="1" t="s">
        <v>45</v>
      </c>
    </row>
    <row r="50" spans="1:85" x14ac:dyDescent="0.2">
      <c r="A50" s="3" t="s">
        <v>91</v>
      </c>
    </row>
    <row r="51" spans="1:85" ht="12" outlineLevel="1" thickBot="1" x14ac:dyDescent="0.25">
      <c r="A51" s="5" t="s">
        <v>49</v>
      </c>
      <c r="B51" s="5" t="s">
        <v>50</v>
      </c>
      <c r="C51" s="5" t="s">
        <v>51</v>
      </c>
      <c r="D51" s="5" t="str">
        <f>IF($I$10&gt;99%,("Low"&amp;TEXT($I$10,"0.0%")&amp;"F"),("Lower"&amp;TEXT($I$10,"0%")&amp;"F"))</f>
        <v>Lower95%F</v>
      </c>
      <c r="E51" s="5" t="str">
        <f>IF($I$10&gt;99%,("Up"&amp;TEXT($I$10,"0.0%")&amp;"F"),("Upper"&amp;TEXT($I$10,"0%")&amp;"F"))</f>
        <v>Upper95%F</v>
      </c>
      <c r="F51" s="5" t="s">
        <v>52</v>
      </c>
      <c r="G51" s="5" t="str">
        <f>IF($I$10&gt;99%,("Low"&amp;TEXT($I$10,"0.0%")&amp;"M"),("Lower"&amp;TEXT($I$10,"0%")&amp;"M"))</f>
        <v>Lower95%M</v>
      </c>
      <c r="H51" s="5" t="str">
        <f>IF($I$10&gt;99%,("Up"&amp;TEXT($I$10,"0.0%")&amp;"M"),("Upper"&amp;TEXT($I$10,"0%")&amp;"M"))</f>
        <v>Upper95%M</v>
      </c>
      <c r="I51" s="9" t="s">
        <v>80</v>
      </c>
    </row>
    <row r="52" spans="1:85" outlineLevel="1" x14ac:dyDescent="0.2">
      <c r="A52" s="7">
        <v>31</v>
      </c>
      <c r="B52" s="1">
        <v>41.641379310344803</v>
      </c>
      <c r="C52" s="6">
        <f>SQRT($D$10^2 + F52^2)</f>
        <v>2.4317288134916821</v>
      </c>
      <c r="D52" s="6">
        <f xml:space="preserve"> B52 - $H$10 * C52</f>
        <v>36.660208641879166</v>
      </c>
      <c r="E52" s="6">
        <f xml:space="preserve"> B52 + $H$10 * C52</f>
        <v>46.62254997881044</v>
      </c>
      <c r="F52" s="6">
        <f>$D$10/SQRT($F$10)*SQRT(1+(I52- 15.5)^2/74.9166666666667)</f>
        <v>0.85278434663373071</v>
      </c>
      <c r="G52" s="6">
        <f xml:space="preserve"> B52 - $H$10 * F52</f>
        <v>39.894529764289075</v>
      </c>
      <c r="H52" s="6">
        <f xml:space="preserve"> B52 + $H$10 * F52</f>
        <v>43.388228856400531</v>
      </c>
      <c r="I52" s="14">
        <v>31</v>
      </c>
      <c r="J52" s="14"/>
      <c r="CG52" s="1">
        <f xml:space="preserve"> $C$52 * $H$10</f>
        <v>4.9811706684656381</v>
      </c>
    </row>
    <row r="53" spans="1:85" outlineLevel="1" x14ac:dyDescent="0.2">
      <c r="I53" s="14"/>
      <c r="J53" s="14"/>
    </row>
    <row r="54" spans="1:85" outlineLevel="1" x14ac:dyDescent="0.2"/>
    <row r="55" spans="1:85" outlineLevel="1" x14ac:dyDescent="0.2"/>
    <row r="56" spans="1:85" outlineLevel="1" x14ac:dyDescent="0.2"/>
    <row r="57" spans="1:85" outlineLevel="1" x14ac:dyDescent="0.2"/>
    <row r="58" spans="1:85" outlineLevel="1" x14ac:dyDescent="0.2"/>
    <row r="59" spans="1:85" outlineLevel="1" x14ac:dyDescent="0.2"/>
    <row r="60" spans="1:85" outlineLevel="1" x14ac:dyDescent="0.2"/>
    <row r="61" spans="1:85" outlineLevel="1" x14ac:dyDescent="0.2"/>
    <row r="62" spans="1:85" outlineLevel="1" x14ac:dyDescent="0.2"/>
    <row r="63" spans="1:85" outlineLevel="1" x14ac:dyDescent="0.2"/>
    <row r="64" spans="1:85" outlineLevel="1" x14ac:dyDescent="0.2"/>
    <row r="65" spans="1:1" outlineLevel="1" x14ac:dyDescent="0.2"/>
    <row r="66" spans="1:1" outlineLevel="1" x14ac:dyDescent="0.2"/>
    <row r="67" spans="1:1" outlineLevel="1" x14ac:dyDescent="0.2"/>
    <row r="68" spans="1:1" outlineLevel="1" x14ac:dyDescent="0.2"/>
    <row r="69" spans="1:1" outlineLevel="1" x14ac:dyDescent="0.2"/>
    <row r="70" spans="1:1" outlineLevel="1" x14ac:dyDescent="0.2"/>
    <row r="71" spans="1:1" outlineLevel="1" x14ac:dyDescent="0.2"/>
    <row r="72" spans="1:1" outlineLevel="1" x14ac:dyDescent="0.2"/>
    <row r="73" spans="1:1" outlineLevel="1" x14ac:dyDescent="0.2"/>
    <row r="74" spans="1:1" outlineLevel="1" x14ac:dyDescent="0.2"/>
    <row r="75" spans="1:1" outlineLevel="1" x14ac:dyDescent="0.2"/>
    <row r="76" spans="1:1" outlineLevel="1" x14ac:dyDescent="0.2"/>
    <row r="78" spans="1:1" x14ac:dyDescent="0.2">
      <c r="A78" s="3" t="s">
        <v>53</v>
      </c>
    </row>
    <row r="79" spans="1:1" outlineLevel="1" x14ac:dyDescent="0.2"/>
    <row r="80" spans="1:1" outlineLevel="1" x14ac:dyDescent="0.2"/>
    <row r="81" spans="3:3" outlineLevel="1" x14ac:dyDescent="0.2">
      <c r="C81" s="16" t="b">
        <v>0</v>
      </c>
    </row>
    <row r="82" spans="3:3" outlineLevel="1" x14ac:dyDescent="0.2"/>
    <row r="83" spans="3:3" outlineLevel="1" x14ac:dyDescent="0.2"/>
    <row r="84" spans="3:3" outlineLevel="1" x14ac:dyDescent="0.2"/>
    <row r="85" spans="3:3" outlineLevel="1" x14ac:dyDescent="0.2"/>
    <row r="86" spans="3:3" outlineLevel="1" x14ac:dyDescent="0.2"/>
    <row r="87" spans="3:3" outlineLevel="1" x14ac:dyDescent="0.2"/>
    <row r="88" spans="3:3" outlineLevel="1" x14ac:dyDescent="0.2"/>
    <row r="89" spans="3:3" outlineLevel="1" x14ac:dyDescent="0.2"/>
    <row r="90" spans="3:3" outlineLevel="1" x14ac:dyDescent="0.2"/>
    <row r="91" spans="3:3" outlineLevel="1" x14ac:dyDescent="0.2"/>
    <row r="92" spans="3:3" outlineLevel="1" x14ac:dyDescent="0.2"/>
    <row r="93" spans="3:3" outlineLevel="1" x14ac:dyDescent="0.2"/>
    <row r="94" spans="3:3" outlineLevel="1" x14ac:dyDescent="0.2"/>
    <row r="95" spans="3:3" outlineLevel="1" x14ac:dyDescent="0.2"/>
    <row r="96" spans="3:3" outlineLevel="1" x14ac:dyDescent="0.2"/>
    <row r="97" spans="1:1" outlineLevel="1" x14ac:dyDescent="0.2"/>
    <row r="98" spans="1:1" outlineLevel="1" x14ac:dyDescent="0.2"/>
    <row r="100" spans="1:1" x14ac:dyDescent="0.2">
      <c r="A100" s="3" t="s">
        <v>54</v>
      </c>
    </row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2" spans="1:1" x14ac:dyDescent="0.2">
      <c r="A122" s="3" t="s">
        <v>55</v>
      </c>
    </row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4" spans="1:1" x14ac:dyDescent="0.2">
      <c r="A144" s="3" t="s">
        <v>56</v>
      </c>
    </row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6" spans="1:1" x14ac:dyDescent="0.2">
      <c r="A166" s="3" t="s">
        <v>57</v>
      </c>
    </row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6" outlineLevel="1" x14ac:dyDescent="0.2"/>
    <row r="178" spans="1:6" outlineLevel="1" x14ac:dyDescent="0.2"/>
    <row r="179" spans="1:6" outlineLevel="1" x14ac:dyDescent="0.2"/>
    <row r="180" spans="1:6" outlineLevel="1" x14ac:dyDescent="0.2"/>
    <row r="181" spans="1:6" outlineLevel="1" x14ac:dyDescent="0.2"/>
    <row r="182" spans="1:6" outlineLevel="1" x14ac:dyDescent="0.2"/>
    <row r="183" spans="1:6" outlineLevel="1" x14ac:dyDescent="0.2"/>
    <row r="184" spans="1:6" outlineLevel="1" x14ac:dyDescent="0.2"/>
    <row r="185" spans="1:6" outlineLevel="1" x14ac:dyDescent="0.2"/>
    <row r="186" spans="1:6" outlineLevel="1" x14ac:dyDescent="0.2"/>
    <row r="188" spans="1:6" x14ac:dyDescent="0.2">
      <c r="A188" s="3" t="s">
        <v>92</v>
      </c>
    </row>
    <row r="189" spans="1:6" ht="12" hidden="1" outlineLevel="1" thickBot="1" x14ac:dyDescent="0.25">
      <c r="A189" s="5" t="s">
        <v>49</v>
      </c>
      <c r="B189" s="5" t="s">
        <v>59</v>
      </c>
      <c r="C189" s="5" t="s">
        <v>40</v>
      </c>
      <c r="D189" s="5" t="s">
        <v>31</v>
      </c>
      <c r="E189" s="5" t="s">
        <v>60</v>
      </c>
    </row>
    <row r="190" spans="1:6" ht="15" hidden="1" outlineLevel="1" x14ac:dyDescent="0.25">
      <c r="A190" s="7">
        <v>1</v>
      </c>
      <c r="B190" s="6">
        <v>20</v>
      </c>
      <c r="C190" s="6">
        <v>15.819354838709668</v>
      </c>
      <c r="D190" s="6">
        <f>B190 - C190</f>
        <v>4.1806451612903324</v>
      </c>
      <c r="E190" s="1">
        <f>D190 /2.27729310377521</f>
        <v>1.8357958202041791</v>
      </c>
      <c r="F190"/>
    </row>
    <row r="191" spans="1:6" ht="15" hidden="1" outlineLevel="1" x14ac:dyDescent="0.25">
      <c r="A191" s="7">
        <v>14</v>
      </c>
      <c r="B191" s="6">
        <v>23</v>
      </c>
      <c r="C191" s="6">
        <v>27.008898776418228</v>
      </c>
      <c r="D191" s="6">
        <f>B191 - C191</f>
        <v>-4.0088987764182278</v>
      </c>
      <c r="E191" s="1">
        <f>D191 /2.27729310377521</f>
        <v>-1.7603789208215788</v>
      </c>
      <c r="F191"/>
    </row>
    <row r="192" spans="1:6" ht="15" hidden="1" outlineLevel="1" x14ac:dyDescent="0.25">
      <c r="A192" s="7">
        <v>3</v>
      </c>
      <c r="B192" s="6">
        <v>21</v>
      </c>
      <c r="C192" s="6">
        <v>17.540823136818677</v>
      </c>
      <c r="D192" s="6">
        <f>B192 - C192</f>
        <v>3.4591768631813231</v>
      </c>
      <c r="E192" s="1">
        <f>D192 /2.27729310377521</f>
        <v>1.5189862286267988</v>
      </c>
      <c r="F192"/>
    </row>
    <row r="193" spans="1:6" ht="15" hidden="1" outlineLevel="1" x14ac:dyDescent="0.25">
      <c r="A193" s="7">
        <v>30</v>
      </c>
      <c r="B193" s="6">
        <v>44</v>
      </c>
      <c r="C193" s="6">
        <v>40.780645161290302</v>
      </c>
      <c r="D193" s="6">
        <f>B193 - C193</f>
        <v>3.2193548387096982</v>
      </c>
      <c r="E193" s="1">
        <f>D193 /2.27729310377521</f>
        <v>1.413676102286866</v>
      </c>
      <c r="F193"/>
    </row>
    <row r="194" spans="1:6" ht="15" hidden="1" outlineLevel="1" x14ac:dyDescent="0.25">
      <c r="A194" s="7">
        <v>20</v>
      </c>
      <c r="B194" s="6">
        <v>29</v>
      </c>
      <c r="C194" s="6">
        <v>32.173303670745256</v>
      </c>
      <c r="D194" s="6">
        <f>B194 - C194</f>
        <v>-3.1733036707452555</v>
      </c>
      <c r="E194" s="1">
        <f>D194 /2.27729310377521</f>
        <v>-1.3934542134627612</v>
      </c>
      <c r="F194"/>
    </row>
    <row r="195" spans="1:6" ht="15" hidden="1" outlineLevel="1" x14ac:dyDescent="0.25">
      <c r="A195" s="7">
        <v>13</v>
      </c>
      <c r="B195" s="6">
        <v>23</v>
      </c>
      <c r="C195" s="6">
        <v>26.148164627363723</v>
      </c>
      <c r="D195" s="6">
        <f>B195 - C195</f>
        <v>-3.1481646273637232</v>
      </c>
      <c r="E195" s="1">
        <f>D195 /2.27729310377521</f>
        <v>-1.3824152113510622</v>
      </c>
      <c r="F195"/>
    </row>
    <row r="196" spans="1:6" ht="15" hidden="1" outlineLevel="1" x14ac:dyDescent="0.25">
      <c r="A196" s="7">
        <v>28</v>
      </c>
      <c r="B196" s="6">
        <v>42</v>
      </c>
      <c r="C196" s="6">
        <v>39.059176863181293</v>
      </c>
      <c r="D196" s="6">
        <f>B196 - C196</f>
        <v>2.9408231368187074</v>
      </c>
      <c r="E196" s="1">
        <f>D196 /2.27729310377521</f>
        <v>1.2913678665005934</v>
      </c>
      <c r="F196"/>
    </row>
    <row r="197" spans="1:6" ht="15" hidden="1" outlineLevel="1" x14ac:dyDescent="0.25">
      <c r="A197" s="7">
        <v>15</v>
      </c>
      <c r="B197" s="6">
        <v>25</v>
      </c>
      <c r="C197" s="6">
        <v>27.869632925472732</v>
      </c>
      <c r="D197" s="6">
        <f>B197 - C197</f>
        <v>-2.8696329254727324</v>
      </c>
      <c r="E197" s="1">
        <f>D197 /2.27729310377521</f>
        <v>-1.2601069755647896</v>
      </c>
      <c r="F197"/>
    </row>
    <row r="198" spans="1:6" ht="15" hidden="1" outlineLevel="1" x14ac:dyDescent="0.25">
      <c r="A198" s="7">
        <v>27</v>
      </c>
      <c r="B198" s="6">
        <v>41</v>
      </c>
      <c r="C198" s="6">
        <v>38.198442714126784</v>
      </c>
      <c r="D198" s="6">
        <f>B198 - C198</f>
        <v>2.8015572858732156</v>
      </c>
      <c r="E198" s="1">
        <f>D198 /2.27729310377521</f>
        <v>1.2302137486074587</v>
      </c>
      <c r="F198"/>
    </row>
    <row r="199" spans="1:6" ht="15" hidden="1" outlineLevel="1" x14ac:dyDescent="0.25">
      <c r="A199" s="7">
        <v>18</v>
      </c>
      <c r="B199" s="6">
        <v>28</v>
      </c>
      <c r="C199" s="6">
        <v>30.451835372636246</v>
      </c>
      <c r="D199" s="6">
        <f>B199 - C199</f>
        <v>-2.4518353726362463</v>
      </c>
      <c r="E199" s="1">
        <f>D199 /2.27729310377521</f>
        <v>-1.0766446218853809</v>
      </c>
      <c r="F199"/>
    </row>
    <row r="200" spans="1:6" ht="15" hidden="1" outlineLevel="1" x14ac:dyDescent="0.25">
      <c r="A200" s="7">
        <v>2</v>
      </c>
      <c r="B200" s="6">
        <v>19</v>
      </c>
      <c r="C200" s="6">
        <v>16.680088987764172</v>
      </c>
      <c r="D200" s="6">
        <f>B200 - C200</f>
        <v>2.3199110122358277</v>
      </c>
      <c r="E200" s="1">
        <f>D200 /2.27729310377521</f>
        <v>1.0187142833700096</v>
      </c>
      <c r="F200"/>
    </row>
    <row r="201" spans="1:6" ht="15" hidden="1" outlineLevel="1" x14ac:dyDescent="0.25">
      <c r="A201" s="7">
        <v>19</v>
      </c>
      <c r="B201" s="6">
        <v>29</v>
      </c>
      <c r="C201" s="6">
        <v>31.312569521690751</v>
      </c>
      <c r="D201" s="6">
        <f>B201 - C201</f>
        <v>-2.3125695216907509</v>
      </c>
      <c r="E201" s="1">
        <f>D201 /2.27729310377521</f>
        <v>-1.0154905039922446</v>
      </c>
      <c r="F201"/>
    </row>
    <row r="202" spans="1:6" ht="15" hidden="1" outlineLevel="1" x14ac:dyDescent="0.25">
      <c r="A202" s="7">
        <v>21</v>
      </c>
      <c r="B202" s="6">
        <v>31</v>
      </c>
      <c r="C202" s="6">
        <v>33.034037819799764</v>
      </c>
      <c r="D202" s="6">
        <f>B202 - C202</f>
        <v>-2.0340378197997637</v>
      </c>
      <c r="E202" s="1">
        <f>D202 /2.27729310377521</f>
        <v>-0.89318226820597357</v>
      </c>
      <c r="F202"/>
    </row>
    <row r="203" spans="1:6" ht="15" hidden="1" outlineLevel="1" x14ac:dyDescent="0.25">
      <c r="A203" s="7">
        <v>16</v>
      </c>
      <c r="B203" s="6">
        <v>27</v>
      </c>
      <c r="C203" s="6">
        <v>28.730367074527237</v>
      </c>
      <c r="D203" s="6">
        <f>B203 - C203</f>
        <v>-1.730367074527237</v>
      </c>
      <c r="E203" s="1">
        <f>D203 /2.27729310377521</f>
        <v>-0.75983503030800037</v>
      </c>
      <c r="F203"/>
    </row>
    <row r="204" spans="1:6" ht="15" hidden="1" outlineLevel="1" x14ac:dyDescent="0.25">
      <c r="A204" s="7">
        <v>17</v>
      </c>
      <c r="B204" s="6">
        <v>28</v>
      </c>
      <c r="C204" s="6">
        <v>29.591101223581742</v>
      </c>
      <c r="D204" s="6">
        <f>B204 - C204</f>
        <v>-1.5911012235817417</v>
      </c>
      <c r="E204" s="1">
        <f>D204 /2.27729310377521</f>
        <v>-0.69868091241486419</v>
      </c>
      <c r="F204"/>
    </row>
    <row r="205" spans="1:6" ht="15" hidden="1" outlineLevel="1" x14ac:dyDescent="0.25">
      <c r="A205" s="7">
        <v>11</v>
      </c>
      <c r="B205" s="6">
        <v>26</v>
      </c>
      <c r="C205" s="6">
        <v>24.426696329254714</v>
      </c>
      <c r="D205" s="6">
        <f>B205 - C205</f>
        <v>1.5733036707452861</v>
      </c>
      <c r="E205" s="1">
        <f>D205 /2.27729310377521</f>
        <v>0.69086568968092998</v>
      </c>
      <c r="F205"/>
    </row>
    <row r="206" spans="1:6" ht="15" hidden="1" outlineLevel="1" x14ac:dyDescent="0.25">
      <c r="A206" s="7">
        <v>10</v>
      </c>
      <c r="B206" s="6">
        <v>22</v>
      </c>
      <c r="C206" s="6">
        <v>23.565962180200209</v>
      </c>
      <c r="D206" s="6">
        <f>B206 - C206</f>
        <v>-1.5659621802002093</v>
      </c>
      <c r="E206" s="1">
        <f>D206 /2.27729310377521</f>
        <v>-0.68764191030316502</v>
      </c>
      <c r="F206"/>
    </row>
    <row r="207" spans="1:6" ht="15" hidden="1" outlineLevel="1" x14ac:dyDescent="0.25">
      <c r="A207" s="7">
        <v>24</v>
      </c>
      <c r="B207" s="6">
        <v>37</v>
      </c>
      <c r="C207" s="6">
        <v>35.616240266963274</v>
      </c>
      <c r="D207" s="6">
        <f>B207 - C207</f>
        <v>1.3837597330367259</v>
      </c>
      <c r="E207" s="1">
        <f>D207 /2.27729310377521</f>
        <v>0.60763356756439546</v>
      </c>
      <c r="F207"/>
    </row>
    <row r="208" spans="1:6" ht="15" hidden="1" outlineLevel="1" x14ac:dyDescent="0.25">
      <c r="A208" s="7">
        <v>12</v>
      </c>
      <c r="B208" s="6">
        <v>24</v>
      </c>
      <c r="C208" s="6">
        <v>25.287430478309219</v>
      </c>
      <c r="D208" s="6">
        <f>B208 - C208</f>
        <v>-1.2874304783092185</v>
      </c>
      <c r="E208" s="1">
        <f>D208 /2.27729310377521</f>
        <v>-0.56533367451689254</v>
      </c>
      <c r="F208"/>
    </row>
    <row r="209" spans="1:6" ht="15" hidden="1" outlineLevel="1" x14ac:dyDescent="0.25">
      <c r="A209" s="7">
        <v>5</v>
      </c>
      <c r="B209" s="6">
        <v>18</v>
      </c>
      <c r="C209" s="6">
        <v>19.262291434927686</v>
      </c>
      <c r="D209" s="6">
        <f>B209 - C209</f>
        <v>-1.2622914349276861</v>
      </c>
      <c r="E209" s="1">
        <f>D209 /2.27729310377521</f>
        <v>-0.55429467240519337</v>
      </c>
      <c r="F209"/>
    </row>
    <row r="210" spans="1:6" ht="15" hidden="1" outlineLevel="1" x14ac:dyDescent="0.25">
      <c r="A210" s="7">
        <v>23</v>
      </c>
      <c r="B210" s="6">
        <v>36</v>
      </c>
      <c r="C210" s="6">
        <v>34.755506117908766</v>
      </c>
      <c r="D210" s="6">
        <f>B210 - C210</f>
        <v>1.2444938820912341</v>
      </c>
      <c r="E210" s="1">
        <f>D210 /2.27729310377521</f>
        <v>0.54647944967126083</v>
      </c>
      <c r="F210"/>
    </row>
    <row r="211" spans="1:6" ht="15" hidden="1" outlineLevel="1" x14ac:dyDescent="0.25">
      <c r="A211" s="7">
        <v>8</v>
      </c>
      <c r="B211" s="6">
        <v>23</v>
      </c>
      <c r="C211" s="6">
        <v>21.8444938820912</v>
      </c>
      <c r="D211" s="6">
        <f>B211 - C211</f>
        <v>1.1555061179088</v>
      </c>
      <c r="E211" s="1">
        <f>D211 /2.27729310377521</f>
        <v>0.50740333600152121</v>
      </c>
      <c r="F211"/>
    </row>
    <row r="212" spans="1:6" ht="15" hidden="1" outlineLevel="1" x14ac:dyDescent="0.25">
      <c r="A212" s="7">
        <v>22</v>
      </c>
      <c r="B212" s="6">
        <v>35</v>
      </c>
      <c r="C212" s="6">
        <v>33.894771968854265</v>
      </c>
      <c r="D212" s="6">
        <f>B212 - C212</f>
        <v>1.1052280311457352</v>
      </c>
      <c r="E212" s="1">
        <f>D212 /2.27729310377521</f>
        <v>0.48532533177812298</v>
      </c>
      <c r="F212"/>
    </row>
    <row r="213" spans="1:6" ht="15" hidden="1" outlineLevel="1" x14ac:dyDescent="0.25">
      <c r="A213" s="7">
        <v>29</v>
      </c>
      <c r="B213" s="6">
        <v>41</v>
      </c>
      <c r="C213" s="6">
        <v>39.919911012235801</v>
      </c>
      <c r="D213" s="6">
        <f>B213 - C213</f>
        <v>1.0800889877641993</v>
      </c>
      <c r="E213" s="1">
        <f>D213 /2.27729310377521</f>
        <v>0.47428632966642226</v>
      </c>
      <c r="F213"/>
    </row>
    <row r="214" spans="1:6" ht="15" hidden="1" outlineLevel="1" x14ac:dyDescent="0.25">
      <c r="A214" s="7">
        <v>7</v>
      </c>
      <c r="B214" s="6">
        <v>22</v>
      </c>
      <c r="C214" s="6">
        <v>20.983759733036695</v>
      </c>
      <c r="D214" s="6">
        <f>B214 - C214</f>
        <v>1.0162402669633046</v>
      </c>
      <c r="E214" s="1">
        <f>D214 /2.27729310377521</f>
        <v>0.44624921810838497</v>
      </c>
      <c r="F214"/>
    </row>
    <row r="215" spans="1:6" ht="15" hidden="1" outlineLevel="1" x14ac:dyDescent="0.25">
      <c r="A215" s="7">
        <v>6</v>
      </c>
      <c r="B215" s="6">
        <v>21</v>
      </c>
      <c r="C215" s="6">
        <v>20.123025583982191</v>
      </c>
      <c r="D215" s="6">
        <f>B215 - C215</f>
        <v>0.87697441601780923</v>
      </c>
      <c r="E215" s="1">
        <f>D215 /2.27729310377521</f>
        <v>0.38509510021524868</v>
      </c>
      <c r="F215"/>
    </row>
    <row r="216" spans="1:6" ht="15" hidden="1" outlineLevel="1" x14ac:dyDescent="0.25">
      <c r="A216" s="7">
        <v>9</v>
      </c>
      <c r="B216" s="6">
        <v>22</v>
      </c>
      <c r="C216" s="6">
        <v>22.705228031145705</v>
      </c>
      <c r="D216" s="6">
        <f>B216 - C216</f>
        <v>-0.70522803114570465</v>
      </c>
      <c r="E216" s="1">
        <f>D216 /2.27729310377521</f>
        <v>-0.30967820083264835</v>
      </c>
      <c r="F216"/>
    </row>
    <row r="217" spans="1:6" ht="15" hidden="1" outlineLevel="1" x14ac:dyDescent="0.25">
      <c r="A217" s="7">
        <v>25</v>
      </c>
      <c r="B217" s="6">
        <v>37</v>
      </c>
      <c r="C217" s="6">
        <v>36.476974416017782</v>
      </c>
      <c r="D217" s="6">
        <f>B217 - C217</f>
        <v>0.52302558398221777</v>
      </c>
      <c r="E217" s="1">
        <f>D217 /2.27729310377521</f>
        <v>0.22966985809387724</v>
      </c>
      <c r="F217"/>
    </row>
    <row r="218" spans="1:6" ht="15" hidden="1" outlineLevel="1" x14ac:dyDescent="0.25">
      <c r="A218" s="7">
        <v>4</v>
      </c>
      <c r="B218" s="6">
        <v>18</v>
      </c>
      <c r="C218" s="6">
        <v>18.401557285873182</v>
      </c>
      <c r="D218" s="6">
        <f>B218 - C218</f>
        <v>-0.40155728587318151</v>
      </c>
      <c r="E218" s="1">
        <f>D218 /2.27729310377521</f>
        <v>-0.17633096293467673</v>
      </c>
      <c r="F218"/>
    </row>
    <row r="219" spans="1:6" ht="15" hidden="1" outlineLevel="1" x14ac:dyDescent="0.25">
      <c r="A219" s="7">
        <v>26</v>
      </c>
      <c r="B219" s="6">
        <v>37</v>
      </c>
      <c r="C219" s="6">
        <v>37.337708565072283</v>
      </c>
      <c r="D219" s="6">
        <f>B219 - C219</f>
        <v>-0.33770856507228331</v>
      </c>
      <c r="E219" s="1">
        <f>D219 /2.27729310377521</f>
        <v>-0.14829385137663784</v>
      </c>
      <c r="F219"/>
    </row>
    <row r="220" spans="1:6" collapsed="1" x14ac:dyDescent="0.2"/>
  </sheetData>
  <sortState ref="A190:F219">
    <sortCondition descending="1" ref="F190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showGridLines="0" showRowColHeaders="0" workbookViewId="0">
      <pane xSplit="1" topLeftCell="B1" activePane="topRight" state="frozenSplit"/>
      <selection pane="topRight" activeCell="A3" sqref="A3"/>
    </sheetView>
  </sheetViews>
  <sheetFormatPr defaultRowHeight="11.25" x14ac:dyDescent="0.2"/>
  <cols>
    <col min="1" max="1" width="32.5703125" style="10" bestFit="1" customWidth="1"/>
    <col min="2" max="2" width="20" style="10" customWidth="1"/>
    <col min="3" max="3" width="16" style="10" customWidth="1"/>
    <col min="4" max="16384" width="9.140625" style="10"/>
  </cols>
  <sheetData>
    <row r="1" spans="1:3" x14ac:dyDescent="0.2">
      <c r="A1" s="17" t="s">
        <v>61</v>
      </c>
    </row>
    <row r="3" spans="1:3" x14ac:dyDescent="0.2">
      <c r="A3" s="19" t="s">
        <v>62</v>
      </c>
    </row>
    <row r="4" spans="1:3" x14ac:dyDescent="0.2">
      <c r="A4" s="18" t="s">
        <v>63</v>
      </c>
      <c r="B4" s="10" t="s">
        <v>4</v>
      </c>
      <c r="C4" s="10" t="s">
        <v>72</v>
      </c>
    </row>
    <row r="5" spans="1:3" x14ac:dyDescent="0.2">
      <c r="A5" s="18" t="s">
        <v>64</v>
      </c>
      <c r="B5" s="21">
        <v>42264.669444444444</v>
      </c>
      <c r="C5" s="21">
        <v>42264.670138888891</v>
      </c>
    </row>
    <row r="6" spans="1:3" x14ac:dyDescent="0.2">
      <c r="A6" s="20" t="s">
        <v>65</v>
      </c>
    </row>
    <row r="7" spans="1:3" x14ac:dyDescent="0.2">
      <c r="A7" s="18" t="s">
        <v>66</v>
      </c>
      <c r="B7" s="10">
        <v>0</v>
      </c>
      <c r="C7" s="10">
        <v>0.14285221722311681</v>
      </c>
    </row>
    <row r="8" spans="1:3" x14ac:dyDescent="0.2">
      <c r="A8" s="18" t="s">
        <v>67</v>
      </c>
      <c r="B8" s="10">
        <v>0</v>
      </c>
      <c r="C8" s="10">
        <v>0.11223979640965676</v>
      </c>
    </row>
    <row r="9" spans="1:3" x14ac:dyDescent="0.2">
      <c r="A9" s="18" t="s">
        <v>68</v>
      </c>
      <c r="B9" s="10">
        <v>12.01651162876057</v>
      </c>
      <c r="C9" s="10">
        <v>11.322080734404089</v>
      </c>
    </row>
    <row r="10" spans="1:3" x14ac:dyDescent="0.2">
      <c r="A10" s="18" t="s">
        <v>17</v>
      </c>
      <c r="B10" s="22">
        <v>30</v>
      </c>
      <c r="C10" s="22">
        <v>30</v>
      </c>
    </row>
    <row r="11" spans="1:3" x14ac:dyDescent="0.2">
      <c r="A11" s="20" t="s">
        <v>69</v>
      </c>
    </row>
    <row r="12" spans="1:3" x14ac:dyDescent="0.2">
      <c r="A12" s="18" t="s">
        <v>27</v>
      </c>
      <c r="B12" s="10" t="s">
        <v>71</v>
      </c>
      <c r="C12" s="10" t="s">
        <v>82</v>
      </c>
    </row>
    <row r="13" spans="1:3" x14ac:dyDescent="0.2">
      <c r="A13" s="18" t="s">
        <v>0</v>
      </c>
      <c r="C13" s="10" t="s">
        <v>83</v>
      </c>
    </row>
    <row r="14" spans="1:3" x14ac:dyDescent="0.2">
      <c r="A14" s="18" t="s">
        <v>70</v>
      </c>
    </row>
    <row r="16" spans="1:3" x14ac:dyDescent="0.2">
      <c r="A16" s="19" t="s">
        <v>93</v>
      </c>
    </row>
    <row r="17" spans="1:2" x14ac:dyDescent="0.2">
      <c r="A17" s="18" t="s">
        <v>63</v>
      </c>
      <c r="B17" s="10" t="s">
        <v>84</v>
      </c>
    </row>
    <row r="18" spans="1:2" x14ac:dyDescent="0.2">
      <c r="A18" s="18" t="s">
        <v>64</v>
      </c>
      <c r="B18" s="21">
        <v>42264.67083333333</v>
      </c>
    </row>
    <row r="19" spans="1:2" x14ac:dyDescent="0.2">
      <c r="A19" s="20" t="s">
        <v>65</v>
      </c>
    </row>
    <row r="20" spans="1:2" x14ac:dyDescent="0.2">
      <c r="A20" s="18" t="s">
        <v>66</v>
      </c>
      <c r="B20" s="10">
        <v>0.91978689241890288</v>
      </c>
    </row>
    <row r="21" spans="1:2" x14ac:dyDescent="0.2">
      <c r="A21" s="18" t="s">
        <v>67</v>
      </c>
      <c r="B21" s="10">
        <v>0.91692213857672078</v>
      </c>
    </row>
    <row r="22" spans="1:2" x14ac:dyDescent="0.2">
      <c r="A22" s="18" t="s">
        <v>68</v>
      </c>
      <c r="B22" s="10">
        <v>2.2772931037752135</v>
      </c>
    </row>
    <row r="23" spans="1:2" x14ac:dyDescent="0.2">
      <c r="A23" s="18" t="s">
        <v>17</v>
      </c>
      <c r="B23" s="22">
        <v>30</v>
      </c>
    </row>
    <row r="24" spans="1:2" x14ac:dyDescent="0.2">
      <c r="A24" s="20" t="s">
        <v>69</v>
      </c>
    </row>
    <row r="25" spans="1:2" x14ac:dyDescent="0.2">
      <c r="A25" s="18" t="s">
        <v>27</v>
      </c>
      <c r="B25" s="10" t="s">
        <v>94</v>
      </c>
    </row>
    <row r="26" spans="1:2" x14ac:dyDescent="0.2">
      <c r="A26" s="18" t="s">
        <v>0</v>
      </c>
      <c r="B26" s="10" t="s">
        <v>95</v>
      </c>
    </row>
    <row r="27" spans="1:2" x14ac:dyDescent="0.2">
      <c r="A27" s="18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X1 X2 data</vt:lpstr>
      <vt:lpstr>Mean model for X1</vt:lpstr>
      <vt:lpstr>Linear trend model for X1</vt:lpstr>
      <vt:lpstr>Linear trend model for X2</vt:lpstr>
      <vt:lpstr>Model Summaries</vt:lpstr>
      <vt:lpstr>'Linear trend model for X1'!Print_Area</vt:lpstr>
      <vt:lpstr>'Linear trend model for X2'!Print_Area</vt:lpstr>
      <vt:lpstr>'Mean model for X1'!Print_Area</vt:lpstr>
      <vt:lpstr>T</vt:lpstr>
      <vt:lpstr>X1_</vt:lpstr>
      <vt:lpstr>X2_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Nau</dc:creator>
  <cp:lastModifiedBy>Bob Nau</cp:lastModifiedBy>
  <dcterms:created xsi:type="dcterms:W3CDTF">2015-09-17T20:03:56Z</dcterms:created>
  <dcterms:modified xsi:type="dcterms:W3CDTF">2015-09-17T20:24:35Z</dcterms:modified>
</cp:coreProperties>
</file>