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PT\SWR302-NET1807\SWR302-SU23-GROUP4\"/>
    </mc:Choice>
  </mc:AlternateContent>
  <xr:revisionPtr revIDLastSave="0" documentId="13_ncr:1_{1692DA45-3D99-418D-90BE-CB2DF6ABC4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structions" sheetId="7" r:id="rId1"/>
    <sheet name="Summary" sheetId="5" r:id="rId2"/>
    <sheet name="Assumptions" sheetId="4" r:id="rId3"/>
  </sheets>
  <externalReferences>
    <externalReference r:id="rId4"/>
  </externalReferences>
  <definedNames>
    <definedName name="Category" localSheetId="0">#REF!</definedName>
    <definedName name="Category">#REF!</definedName>
    <definedName name="_xlnm.Print_Titles" localSheetId="2">Assumptions!$27:$27</definedName>
    <definedName name="_xlnm.Print_Titles" localSheetId="1">Summary!$23:$23</definedName>
    <definedName name="ProjectTYpe" localSheetId="0">[1]Summary!$M$1:$M$1</definedName>
    <definedName name="ProjectTYpe">Summary!#REF!</definedName>
    <definedName name="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4" l="1"/>
  <c r="I38" i="4"/>
  <c r="H38" i="4"/>
  <c r="C58" i="5" l="1"/>
  <c r="H15" i="4"/>
  <c r="F63" i="4" s="1"/>
  <c r="D63" i="4" s="1"/>
  <c r="H22" i="4"/>
  <c r="H23" i="4" s="1"/>
  <c r="F134" i="4"/>
  <c r="F135" i="4"/>
  <c r="F133" i="4"/>
  <c r="D132" i="4"/>
  <c r="F130" i="4"/>
  <c r="F129" i="4"/>
  <c r="F128" i="4"/>
  <c r="F127" i="4"/>
  <c r="F126" i="4"/>
  <c r="F124" i="4"/>
  <c r="F123" i="4"/>
  <c r="F121" i="4"/>
  <c r="F122" i="4"/>
  <c r="F120" i="4"/>
  <c r="F117" i="4"/>
  <c r="F118" i="4"/>
  <c r="F116" i="4"/>
  <c r="F114" i="4"/>
  <c r="F113" i="4"/>
  <c r="F111" i="4"/>
  <c r="F112" i="4"/>
  <c r="F110" i="4"/>
  <c r="D105" i="4"/>
  <c r="F97" i="4"/>
  <c r="F98" i="4"/>
  <c r="F99" i="4"/>
  <c r="F100" i="4"/>
  <c r="F101" i="4"/>
  <c r="F96" i="4"/>
  <c r="F88" i="4"/>
  <c r="D88" i="4" s="1"/>
  <c r="F90" i="4"/>
  <c r="F91" i="4"/>
  <c r="F89" i="4"/>
  <c r="F42" i="5"/>
  <c r="F84" i="4"/>
  <c r="F83" i="4"/>
  <c r="F81" i="4"/>
  <c r="F82" i="4"/>
  <c r="F80" i="4"/>
  <c r="D74" i="4"/>
  <c r="D75" i="4"/>
  <c r="D76" i="4"/>
  <c r="D73" i="4"/>
  <c r="F57" i="4"/>
  <c r="F37" i="5"/>
  <c r="F58" i="4"/>
  <c r="F59" i="4"/>
  <c r="F60" i="4"/>
  <c r="F61" i="4"/>
  <c r="D66" i="4"/>
  <c r="F69" i="4"/>
  <c r="F68" i="4"/>
  <c r="F33" i="5"/>
  <c r="F26" i="5"/>
  <c r="C11" i="4"/>
  <c r="C10" i="4"/>
  <c r="D12" i="5"/>
  <c r="C70" i="5"/>
  <c r="C72" i="5" s="1"/>
  <c r="D21" i="5" s="1"/>
  <c r="F32" i="5"/>
  <c r="F62" i="4" l="1"/>
  <c r="D62" i="4" s="1"/>
  <c r="F64" i="4"/>
  <c r="D64" i="4" s="1"/>
  <c r="D19" i="5"/>
  <c r="C71" i="5"/>
  <c r="D20" i="5" s="1"/>
  <c r="C12" i="4"/>
  <c r="C14" i="4"/>
  <c r="F70" i="4"/>
  <c r="C13" i="4"/>
  <c r="J65" i="5"/>
  <c r="F71" i="4" l="1"/>
  <c r="D53" i="4" l="1"/>
  <c r="D52" i="4"/>
  <c r="F108" i="4"/>
  <c r="F107" i="4"/>
  <c r="F106" i="4"/>
  <c r="C9" i="4"/>
  <c r="E93" i="4"/>
  <c r="D93" i="4" s="1"/>
  <c r="E44" i="5" s="1"/>
  <c r="E94" i="4"/>
  <c r="D94" i="4" s="1"/>
  <c r="E45" i="5" s="1"/>
  <c r="E92" i="4"/>
  <c r="D92" i="4" s="1"/>
  <c r="F44" i="5"/>
  <c r="F45" i="5"/>
  <c r="F77" i="4"/>
  <c r="F78" i="4" s="1"/>
  <c r="G45" i="5" l="1"/>
  <c r="D45" i="5" s="1"/>
  <c r="G44" i="5"/>
  <c r="D44" i="5" s="1"/>
  <c r="D57" i="4" l="1"/>
  <c r="F67" i="4"/>
  <c r="D69" i="4" s="1"/>
  <c r="C6" i="4"/>
  <c r="F38" i="5" s="1"/>
  <c r="C7" i="4"/>
  <c r="C8" i="4"/>
  <c r="C76" i="5"/>
  <c r="F49" i="5"/>
  <c r="C78" i="5" l="1"/>
  <c r="F43" i="5"/>
  <c r="F54" i="5"/>
  <c r="F36" i="5"/>
  <c r="F46" i="5"/>
  <c r="D48" i="4"/>
  <c r="C79" i="5" l="1"/>
  <c r="C20" i="5"/>
  <c r="D84" i="4"/>
  <c r="D83" i="4"/>
  <c r="F50" i="5"/>
  <c r="E35" i="4"/>
  <c r="D35" i="4" s="1"/>
  <c r="D124" i="4"/>
  <c r="D123" i="4"/>
  <c r="D130" i="4"/>
  <c r="D129" i="4"/>
  <c r="D114" i="4"/>
  <c r="D113" i="4"/>
  <c r="D61" i="4"/>
  <c r="D46" i="4"/>
  <c r="D45" i="4"/>
  <c r="D107" i="4"/>
  <c r="D108" i="4"/>
  <c r="D106" i="4"/>
  <c r="D110" i="4"/>
  <c r="D111" i="4"/>
  <c r="D112" i="4"/>
  <c r="D116" i="4"/>
  <c r="D117" i="4"/>
  <c r="D118" i="4"/>
  <c r="D120" i="4"/>
  <c r="D121" i="4"/>
  <c r="D122" i="4"/>
  <c r="D126" i="4"/>
  <c r="D127" i="4"/>
  <c r="D128" i="4"/>
  <c r="D133" i="4"/>
  <c r="D134" i="4"/>
  <c r="D135" i="4"/>
  <c r="D97" i="4"/>
  <c r="D98" i="4"/>
  <c r="D99" i="4"/>
  <c r="D100" i="4"/>
  <c r="D101" i="4"/>
  <c r="D96" i="4"/>
  <c r="D71" i="4"/>
  <c r="D70" i="4"/>
  <c r="D68" i="4"/>
  <c r="D67" i="4"/>
  <c r="D90" i="4"/>
  <c r="D91" i="4"/>
  <c r="D89" i="4"/>
  <c r="D78" i="4"/>
  <c r="D77" i="4"/>
  <c r="D82" i="4"/>
  <c r="D81" i="4"/>
  <c r="D80" i="4"/>
  <c r="D60" i="4"/>
  <c r="D59" i="4"/>
  <c r="D58" i="4"/>
  <c r="D50" i="4"/>
  <c r="E39" i="4"/>
  <c r="D39" i="4" s="1"/>
  <c r="C39" i="4" s="1"/>
  <c r="E28" i="5" s="1"/>
  <c r="G28" i="5" s="1"/>
  <c r="D28" i="5" s="1"/>
  <c r="E38" i="4"/>
  <c r="D38" i="4" s="1"/>
  <c r="C38" i="4" s="1"/>
  <c r="E27" i="5" s="1"/>
  <c r="D36" i="4"/>
  <c r="I43" i="4"/>
  <c r="D42" i="4"/>
  <c r="E31" i="4"/>
  <c r="D31" i="4" s="1"/>
  <c r="D41" i="4"/>
  <c r="D34" i="4"/>
  <c r="D33" i="4"/>
  <c r="E30" i="4"/>
  <c r="D30" i="4" s="1"/>
  <c r="C56" i="4" l="1"/>
  <c r="C80" i="5"/>
  <c r="C21" i="5" s="1"/>
  <c r="C19" i="5"/>
  <c r="C44" i="4"/>
  <c r="C72" i="4"/>
  <c r="C29" i="4"/>
  <c r="C32" i="4"/>
  <c r="C49" i="4"/>
  <c r="E33" i="5" s="1"/>
  <c r="G33" i="5" s="1"/>
  <c r="D33" i="5" s="1"/>
  <c r="C87" i="4"/>
  <c r="C104" i="4"/>
  <c r="C95" i="4"/>
  <c r="C125" i="4"/>
  <c r="C65" i="4"/>
  <c r="E36" i="5" s="1"/>
  <c r="C131" i="4"/>
  <c r="C119" i="4"/>
  <c r="C115" i="4"/>
  <c r="C109" i="4"/>
  <c r="C79" i="4"/>
  <c r="F51" i="5"/>
  <c r="C47" i="4"/>
  <c r="E32" i="5" s="1"/>
  <c r="G32" i="5" s="1"/>
  <c r="D32" i="5" s="1"/>
  <c r="C51" i="4"/>
  <c r="D43" i="4"/>
  <c r="C40" i="4" s="1"/>
  <c r="E43" i="5" l="1"/>
  <c r="G43" i="5" s="1"/>
  <c r="D43" i="5" s="1"/>
  <c r="E26" i="5"/>
  <c r="G26" i="5" s="1"/>
  <c r="D26" i="5" s="1"/>
  <c r="E39" i="5"/>
  <c r="E46" i="5"/>
  <c r="G46" i="5" s="1"/>
  <c r="D46" i="5" s="1"/>
  <c r="E53" i="5"/>
  <c r="E54" i="5"/>
  <c r="G54" i="5" s="1"/>
  <c r="D54" i="5" s="1"/>
  <c r="E31" i="5"/>
  <c r="E37" i="5"/>
  <c r="G37" i="5" s="1"/>
  <c r="D37" i="5" s="1"/>
  <c r="E29" i="5"/>
  <c r="G29" i="5" s="1"/>
  <c r="D29" i="5" s="1"/>
  <c r="G27" i="5"/>
  <c r="D27" i="5" s="1"/>
  <c r="E42" i="5"/>
  <c r="G42" i="5" s="1"/>
  <c r="D42" i="5" s="1"/>
  <c r="G36" i="5"/>
  <c r="D36" i="5" s="1"/>
  <c r="E51" i="5"/>
  <c r="G51" i="5" s="1"/>
  <c r="D51" i="5" s="1"/>
  <c r="E52" i="5"/>
  <c r="E49" i="5"/>
  <c r="G49" i="5" s="1"/>
  <c r="D49" i="5" s="1"/>
  <c r="E38" i="5"/>
  <c r="G38" i="5" s="1"/>
  <c r="D38" i="5" s="1"/>
  <c r="E50" i="5"/>
  <c r="G50" i="5" s="1"/>
  <c r="D50" i="5" s="1"/>
  <c r="E30" i="5"/>
  <c r="G30" i="5" s="1"/>
  <c r="D30" i="5" s="1"/>
  <c r="E25" i="5"/>
  <c r="G25" i="5" s="1"/>
  <c r="D25" i="5" s="1"/>
  <c r="F39" i="5"/>
  <c r="F52" i="5"/>
  <c r="C41" i="5" l="1"/>
  <c r="G39" i="5"/>
  <c r="D39" i="5" s="1"/>
  <c r="C35" i="5" s="1"/>
  <c r="G52" i="5"/>
  <c r="D52" i="5" s="1"/>
  <c r="F31" i="5"/>
  <c r="G31" i="5" s="1"/>
  <c r="D31" i="5" s="1"/>
  <c r="F53" i="5"/>
  <c r="G53" i="5" s="1"/>
  <c r="C24" i="5" l="1"/>
  <c r="D53" i="5"/>
  <c r="C48" i="5" l="1"/>
  <c r="C57" i="5" s="1"/>
  <c r="C61" i="5" s="1"/>
  <c r="C63" i="5" s="1"/>
  <c r="E20" i="5" s="1"/>
  <c r="C62" i="5" l="1"/>
  <c r="J64" i="5"/>
  <c r="C64" i="5" l="1"/>
  <c r="E21" i="5" s="1"/>
  <c r="E19" i="5"/>
</calcChain>
</file>

<file path=xl/sharedStrings.xml><?xml version="1.0" encoding="utf-8"?>
<sst xmlns="http://schemas.openxmlformats.org/spreadsheetml/2006/main" count="378" uniqueCount="299">
  <si>
    <t>Category</t>
  </si>
  <si>
    <t>Weekly status meeting</t>
  </si>
  <si>
    <t>Model Requirements - People</t>
  </si>
  <si>
    <t>Org Chart creation</t>
  </si>
  <si>
    <t>Org Chart internal review</t>
  </si>
  <si>
    <t>Org Chart customer review</t>
  </si>
  <si>
    <t>Decision Tree creation</t>
  </si>
  <si>
    <t>Decision Tree internal review</t>
  </si>
  <si>
    <t>Decision Tree customer review</t>
  </si>
  <si>
    <t>Display-Action-Response creation</t>
  </si>
  <si>
    <t>Display-Action-Response internal review</t>
  </si>
  <si>
    <t>Display-Action-Response customer review</t>
  </si>
  <si>
    <t>Model Requirements - System</t>
  </si>
  <si>
    <t>Wireframe creation</t>
  </si>
  <si>
    <t>Wireframe internal review</t>
  </si>
  <si>
    <t>Wireframe customer review</t>
  </si>
  <si>
    <t>Model Requirements - Data</t>
  </si>
  <si>
    <t>Business Data Diagram creation</t>
  </si>
  <si>
    <t>Business Data Diagram internal review</t>
  </si>
  <si>
    <t>Business Data Diagram customer review</t>
  </si>
  <si>
    <t>Data Flow Diagram creation</t>
  </si>
  <si>
    <t>Data Flow Diagram internal review</t>
  </si>
  <si>
    <t>Data Flow Diagram customer review</t>
  </si>
  <si>
    <t>Data Dictionary creation</t>
  </si>
  <si>
    <t>Data Dictionary internal review</t>
  </si>
  <si>
    <t>Data Dictionary customer review</t>
  </si>
  <si>
    <t>State Table creation</t>
  </si>
  <si>
    <t>State Table internal review</t>
  </si>
  <si>
    <t>State Table customer review</t>
  </si>
  <si>
    <t>State Diagram creation</t>
  </si>
  <si>
    <t>State Diagram internal review</t>
  </si>
  <si>
    <t>State Diagram customer review</t>
  </si>
  <si>
    <t>Report Table creation</t>
  </si>
  <si>
    <t>Report Table internal review</t>
  </si>
  <si>
    <t>Report Table customer review</t>
  </si>
  <si>
    <t>User Story creation</t>
  </si>
  <si>
    <t>User Story internal review</t>
  </si>
  <si>
    <t>User Story customer review</t>
  </si>
  <si>
    <t>Total Minutes</t>
  </si>
  <si>
    <t>No</t>
  </si>
  <si>
    <t>N/A</t>
  </si>
  <si>
    <t>Number of Elements</t>
  </si>
  <si>
    <t>Core Team meetings</t>
  </si>
  <si>
    <t>Get trained in existing or new systems</t>
  </si>
  <si>
    <t>Total Effort</t>
  </si>
  <si>
    <t>Status reporting</t>
  </si>
  <si>
    <t>Requirements plans</t>
  </si>
  <si>
    <t>Requirements architecture</t>
  </si>
  <si>
    <t>Quantity</t>
  </si>
  <si>
    <t>Kicking off project</t>
  </si>
  <si>
    <t>Org Charts</t>
  </si>
  <si>
    <t>Decision Trees</t>
  </si>
  <si>
    <t>Business Data Diagrams</t>
  </si>
  <si>
    <t>Data Flow Diagrams</t>
  </si>
  <si>
    <t>Data Dictionaries</t>
  </si>
  <si>
    <t>State Tables</t>
  </si>
  <si>
    <t>State Diagrams</t>
  </si>
  <si>
    <t>Report Tables</t>
  </si>
  <si>
    <t>Organizing Functions/Features</t>
  </si>
  <si>
    <t>Is your team remote?</t>
  </si>
  <si>
    <t>Activity</t>
  </si>
  <si>
    <t>Evaluate org charts against stakeholder lists</t>
  </si>
  <si>
    <t>Estimate per Element (minutes)</t>
  </si>
  <si>
    <t>BDDs</t>
  </si>
  <si>
    <t>Suggested Time - Low (minutes)</t>
  </si>
  <si>
    <t>Suggested Time - High (minutes)</t>
  </si>
  <si>
    <t>Detailed Calculations for each activity</t>
  </si>
  <si>
    <t>Notes</t>
  </si>
  <si>
    <t>Minutes per unit</t>
  </si>
  <si>
    <t>Stakeholders</t>
  </si>
  <si>
    <t>Total budget</t>
  </si>
  <si>
    <t>User Story elicitation</t>
  </si>
  <si>
    <t>Elicitation prep, meet, follow-up</t>
  </si>
  <si>
    <t>Org Chart elicitation</t>
  </si>
  <si>
    <t>System Context Diagram elicitation</t>
  </si>
  <si>
    <t>System Context Diagram creation</t>
  </si>
  <si>
    <t>System Context Diagram internal review</t>
  </si>
  <si>
    <t>System Context Diagram customer review</t>
  </si>
  <si>
    <t>Small System Interface Models</t>
  </si>
  <si>
    <t>Medium System Interface Models</t>
  </si>
  <si>
    <t>Large System Interface Models</t>
  </si>
  <si>
    <t>Lots of data is passed, lots of interface points</t>
  </si>
  <si>
    <t>Business Data Diagram elicitation</t>
  </si>
  <si>
    <t>Report Table elicitation</t>
  </si>
  <si>
    <t>Project Start and Management</t>
  </si>
  <si>
    <t>COTS</t>
  </si>
  <si>
    <t>Developers per BA Standard</t>
  </si>
  <si>
    <t>Developers per BA COTS</t>
  </si>
  <si>
    <t>BA support through remainder of project</t>
  </si>
  <si>
    <t>BA Requirements effort cost</t>
  </si>
  <si>
    <t>Hours by Category</t>
  </si>
  <si>
    <t>Units</t>
  </si>
  <si>
    <t>Input</t>
  </si>
  <si>
    <t>Estimates</t>
  </si>
  <si>
    <t>Requirements Work</t>
  </si>
  <si>
    <t>Hours</t>
  </si>
  <si>
    <t>Business rules per requirement</t>
  </si>
  <si>
    <t>#</t>
  </si>
  <si>
    <t>Remote Team Buffer add-on</t>
  </si>
  <si>
    <t>Hours of work with buffer</t>
  </si>
  <si>
    <t>Minutes</t>
  </si>
  <si>
    <t>Items</t>
  </si>
  <si>
    <t>Uses requirements project duration above</t>
  </si>
  <si>
    <t>Project kick-off</t>
  </si>
  <si>
    <t>Functions/Features organization</t>
  </si>
  <si>
    <t>Existing documentation review</t>
  </si>
  <si>
    <t>Existing systems review</t>
  </si>
  <si>
    <t>Display-Action-Response Tables</t>
  </si>
  <si>
    <t>Traceability Links</t>
  </si>
  <si>
    <t>Model</t>
  </si>
  <si>
    <t>Estimated Model counts and Assumptions</t>
  </si>
  <si>
    <t>Review and Update derived requirements</t>
  </si>
  <si>
    <t>Derive Requirements and business rules</t>
  </si>
  <si>
    <t>Unique requirements per User Story</t>
  </si>
  <si>
    <t>Traces per requirement (to Process Flow, Screen, User Story)</t>
  </si>
  <si>
    <t>Process Flow</t>
  </si>
  <si>
    <t>Section Subtotal (minutes)</t>
  </si>
  <si>
    <t>Requirements and business rules per user story</t>
  </si>
  <si>
    <t>Business rules per decision tree</t>
  </si>
  <si>
    <t>Decision points within a decision tree</t>
  </si>
  <si>
    <t>People within an org chart</t>
  </si>
  <si>
    <t>Elements in a Screen</t>
  </si>
  <si>
    <t>Business rules per DFD</t>
  </si>
  <si>
    <t>Elements within a screen</t>
  </si>
  <si>
    <t>Systems within a context diagram</t>
  </si>
  <si>
    <t>Session breakdown (20 prep, 30 meet, 10 follow-up)</t>
  </si>
  <si>
    <t>Sessions breakdown (30 prep, 60 meet, 30 follow-up)</t>
  </si>
  <si>
    <t>Elements within a data dictionary</t>
  </si>
  <si>
    <t>Objects within a data flow diagram</t>
  </si>
  <si>
    <t>Objects within a business data diagram</t>
  </si>
  <si>
    <t>States in a state model</t>
  </si>
  <si>
    <t>States in a state table</t>
  </si>
  <si>
    <t>Business rules per state table</t>
  </si>
  <si>
    <t>Business rules per state diagram</t>
  </si>
  <si>
    <t>States in a state diagram</t>
  </si>
  <si>
    <t>Elements in a Report</t>
  </si>
  <si>
    <t>Elements in a report</t>
  </si>
  <si>
    <t>Small custom system, few data pieces</t>
  </si>
  <si>
    <t>Important summations</t>
  </si>
  <si>
    <t>Estimate based on</t>
  </si>
  <si>
    <t xml:space="preserve">Details below are the estimates to create each individual model or element. </t>
  </si>
  <si>
    <t>Element is any object or sub object used in the estimate. Element could be a use case, a step in a use case, a process flow, a button in a screen, or a link in a screen.</t>
  </si>
  <si>
    <t>Total project budget</t>
  </si>
  <si>
    <t>Number of developers</t>
  </si>
  <si>
    <t>Project duration? (weeks)</t>
  </si>
  <si>
    <t>Requirements work duration? (weeks)</t>
  </si>
  <si>
    <t>Process Flows and/or Use Cases</t>
  </si>
  <si>
    <t>Quick Start</t>
  </si>
  <si>
    <t>Detailed Information</t>
  </si>
  <si>
    <t>Color Coding Key</t>
  </si>
  <si>
    <t>Summary Worksheet</t>
  </si>
  <si>
    <t>Input Section</t>
  </si>
  <si>
    <t>Total Effort Section</t>
  </si>
  <si>
    <t>Assumptions Worksheet</t>
  </si>
  <si>
    <t>The Assumption worksheet contains the assumptions which are used determine the average effort to complete each model or requirements artifact.</t>
  </si>
  <si>
    <t>Uses number of screens, above</t>
  </si>
  <si>
    <t>People in an Org Chart (S:10, M:30, L:50)*</t>
  </si>
  <si>
    <t>Systems in a System Context Diagram (S:10, M:30, L:50)*</t>
  </si>
  <si>
    <t>Actor Profile creation</t>
  </si>
  <si>
    <t>Actor Profile internal review</t>
  </si>
  <si>
    <t>Actor Profile customer review</t>
  </si>
  <si>
    <t>Actors per Stakeholder</t>
  </si>
  <si>
    <t>Process Flow/Use Case creation</t>
  </si>
  <si>
    <t>Process Flow/Use Case internal review</t>
  </si>
  <si>
    <t>Process Flow/Use Case customer review</t>
  </si>
  <si>
    <t>Steps within a process flow/use case</t>
  </si>
  <si>
    <t>Requirements and business rules per process flow/use case</t>
  </si>
  <si>
    <t>Process Flow/Use Case</t>
  </si>
  <si>
    <t>Steps in a Process Flow/Use Case</t>
  </si>
  <si>
    <t>Requirements per step in a Process Flow/Use Case</t>
  </si>
  <si>
    <t>Requirements per Process Flow/Use Case</t>
  </si>
  <si>
    <t>Business rules per Process Flow /Use Case</t>
  </si>
  <si>
    <t>Estimates Section</t>
  </si>
  <si>
    <t>This section provides estimates on a model-by-model basis, based on the Inputs section and the Assumptions worksheet.</t>
  </si>
  <si>
    <t>You do not have to change any of the assumption, but you may.</t>
  </si>
  <si>
    <t>Estimated Model counts and Assumptions Section</t>
  </si>
  <si>
    <t>Detailed Calculations for each activity Section</t>
  </si>
  <si>
    <t>The calculations tell you the total work under "Total Effort" based on pre-set formulas.</t>
  </si>
  <si>
    <t>The total BA count is calculated based on the duration of requirements work input at the top.</t>
  </si>
  <si>
    <t>If you specified in the inputs that the team is remote, then a 10% buffer is added to the hours for ineffective time use.</t>
  </si>
  <si>
    <t>The number of BAs you can estimate needing based on number of developers is at the bottom of the summary tab.</t>
  </si>
  <si>
    <t>The budget for BAs can be estimated as a percent of the total project.</t>
  </si>
  <si>
    <t>The BA support cost through the rest of the project is calculated based on number of BAs needed per number of developers.</t>
  </si>
  <si>
    <t>The estimated BA cost based on the requirements work total is calculated as well.</t>
  </si>
  <si>
    <t>At the top left, the number of models produced is calculated.</t>
  </si>
  <si>
    <t>Suggested Time - Low and - High are numbers you can use to decide on the value used in column E.</t>
  </si>
  <si>
    <t>Percent of budget allocated to requirements</t>
  </si>
  <si>
    <t>15% is industry standard</t>
  </si>
  <si>
    <t>Number of BAs for the Requirements Work</t>
  </si>
  <si>
    <t>Number of BAs for entire project</t>
  </si>
  <si>
    <t>BA blended hourly cost</t>
  </si>
  <si>
    <t>BA cost for entire project</t>
  </si>
  <si>
    <t>Assumes input project duration and cost</t>
  </si>
  <si>
    <t>BA estimate as ratio of Developers to BAs</t>
  </si>
  <si>
    <t>BA budget for requirements work</t>
  </si>
  <si>
    <t>BA budget for project duration</t>
  </si>
  <si>
    <t xml:space="preserve">Number of BAs for the Requirements Work </t>
  </si>
  <si>
    <t>Assumes input cost</t>
  </si>
  <si>
    <t>Assumes input requirements duration, excludes time off</t>
  </si>
  <si>
    <t>BA cost for requirements work</t>
  </si>
  <si>
    <t>Assumes input requirements duration and cost</t>
  </si>
  <si>
    <t>BA estimate based on activities</t>
  </si>
  <si>
    <t>BA estimate as % of total budget</t>
  </si>
  <si>
    <t>% of total project</t>
  </si>
  <si>
    <t>Activity based</t>
  </si>
  <si>
    <t>Ratio of dev to BAs</t>
  </si>
  <si>
    <t>Assumptions (* indicates assumption varies based on project size-- Small, Medium, or Large)</t>
  </si>
  <si>
    <t>Yellow cell values should be entered specific to this project</t>
  </si>
  <si>
    <t>Light gray cells are either N/A or reference yellow cells and usually do not need to be edited</t>
  </si>
  <si>
    <t>The yellow cells are all standards, but can be altered.</t>
  </si>
  <si>
    <t xml:space="preserve"> </t>
  </si>
  <si>
    <t>Summary Total Effort Comparison</t>
  </si>
  <si>
    <t>*Excludes time off</t>
  </si>
  <si>
    <t>User Stories</t>
  </si>
  <si>
    <t>Setup requirements repository</t>
  </si>
  <si>
    <t>State objects to define per Business Data Diagrams</t>
  </si>
  <si>
    <t>Data objects in a Business Data Diagram</t>
  </si>
  <si>
    <t>Create Work breakdown structure</t>
  </si>
  <si>
    <t>System Context Diagram (or Ecosystem Map)</t>
  </si>
  <si>
    <t>Display-Action-Response models</t>
  </si>
  <si>
    <t>Screens/User interfaces</t>
  </si>
  <si>
    <t>Number of business analysts (BAs)</t>
  </si>
  <si>
    <t>Type of project (Standard or COTS)</t>
  </si>
  <si>
    <t>Dark gray cells are calculated, but can be overridden</t>
  </si>
  <si>
    <t>Complete the methodology checklist</t>
  </si>
  <si>
    <t>Access the Summary worksheet and fill in the yellow cells with details specific to your bakery (e.g., types of baked goods, expected daily sales).</t>
  </si>
  <si>
    <t>Access the Assumptions worksheet and review the provided assumptions regarding ingredient usage, labor costs, and equipment needs.</t>
  </si>
  <si>
    <t>Return to the Summary worksheet and review the entered data to ensure it aligns with your bakery's operations.</t>
  </si>
  <si>
    <t>Yellow cells: Enter bakery-specific details, such as quantities of baked goods produced, ingredient costs, and pricing.</t>
  </si>
  <si>
    <t>Light gray cells: Predefined data for reference, such as standard recipe quantities and common ingredient prices.</t>
  </si>
  <si>
    <t>Dark gray cells: Automatically calculated values, like total production costs and revenue projections, which can be adjusted if necessary.</t>
  </si>
  <si>
    <t>Important summations include total daily sales, ingredient costs, and profit margins.</t>
  </si>
  <si>
    <t>Enter quantities of baked goods (e.g., loaves of bread, pastries, cakes).</t>
  </si>
  <si>
    <t>Detail itemized costs and sales prices for each baked good.</t>
  </si>
  <si>
    <t>Review the calculated totals and projections to ensure they align with your bakery’s goals and expectations.</t>
  </si>
  <si>
    <r>
      <t>Yellow cells:</t>
    </r>
    <r>
      <rPr>
        <sz val="11"/>
        <color theme="1"/>
        <rFont val="Calibri"/>
        <family val="2"/>
        <scheme val="minor"/>
      </rPr>
      <t xml:space="preserve"> Specific assumptions for your bakery</t>
    </r>
  </si>
  <si>
    <r>
      <t>Light gray cells:</t>
    </r>
    <r>
      <rPr>
        <sz val="11"/>
        <color theme="1"/>
        <rFont val="Calibri"/>
        <family val="2"/>
        <scheme val="minor"/>
      </rPr>
      <t xml:space="preserve"> Reference data</t>
    </r>
  </si>
  <si>
    <r>
      <t>Dark gray cells:</t>
    </r>
    <r>
      <rPr>
        <sz val="11"/>
        <color theme="1"/>
        <rFont val="Calibri"/>
        <family val="2"/>
        <scheme val="minor"/>
      </rPr>
      <t xml:space="preserve"> Calculated values</t>
    </r>
  </si>
  <si>
    <t>Bakery Operations Management</t>
  </si>
  <si>
    <t>Document and organize all recipes for bakery products (e.g., bread, cakes, pastries).</t>
  </si>
  <si>
    <t>Use checklists to verify all required ingredients are available and in stock.</t>
  </si>
  <si>
    <t>Daily Operations Reporting</t>
  </si>
  <si>
    <t>Create a Daily Sales Report</t>
  </si>
  <si>
    <t>Document daily sales figures for each product.</t>
  </si>
  <si>
    <t>Review performance, address any issues, and plan for the upcoming week.</t>
  </si>
  <si>
    <t>Discuss operational efficiency, customer feedback, and business strategies.</t>
  </si>
  <si>
    <t>Product Quality Review Meetings</t>
  </si>
  <si>
    <t>Evaluate product quality, address defects, and implement improvements.</t>
  </si>
  <si>
    <t>Operations Architecture and Systems</t>
  </si>
  <si>
    <t>Define Operational Workflow</t>
  </si>
  <si>
    <t>Set up processes for daily operations, inventory management, and staff scheduling.</t>
  </si>
  <si>
    <t>Setup Inventory and Recipe Management Tools</t>
  </si>
  <si>
    <t>Implement software/tools to manage recipes, ingredient inventory, and sales tracking.</t>
  </si>
  <si>
    <t>New Product Development Meetings</t>
  </si>
  <si>
    <t>Plan and conduct meetings to discuss new bakery products.</t>
  </si>
  <si>
    <t>Staff Training and Familiarization</t>
  </si>
  <si>
    <t>Introduce staff to new products, processes, and expectations.</t>
  </si>
  <si>
    <t>Define Business Objectives and Customer Needs</t>
  </si>
  <si>
    <t>Identify business goals and gather customer feedback for new product development.</t>
  </si>
  <si>
    <t>Identify Key Bakery Functions</t>
  </si>
  <si>
    <t>List major functions such as baking, decorating, packaging, and customer service.</t>
  </si>
  <si>
    <t>Determine Organizational Structure</t>
  </si>
  <si>
    <t>Establish roles, responsibilities, and workflow for efficient bakery operations.</t>
  </si>
  <si>
    <t>Review Existing Documentation and Systems</t>
  </si>
  <si>
    <t>Review Operational Manuals</t>
  </si>
  <si>
    <t>Evaluate current operation manuals for accuracy and relevance.</t>
  </si>
  <si>
    <t>Staff Training on Existing Systems</t>
  </si>
  <si>
    <t>Train staff on existing tools and systems for inventory and sales management.</t>
  </si>
  <si>
    <t>Traceability and Quality Assurance</t>
  </si>
  <si>
    <t>Create Traceability Matrix</t>
  </si>
  <si>
    <t>Develop a system to trace the origin and usage of all ingredients.</t>
  </si>
  <si>
    <t>Analyze Traceability Matrix</t>
  </si>
  <si>
    <t>Review traceability data to identify issues or gaps in the supply chain.</t>
  </si>
  <si>
    <t>Recipe Plans</t>
  </si>
  <si>
    <t>Inventory Checklists</t>
  </si>
  <si>
    <t>Recipe Plans per Process Flow</t>
  </si>
  <si>
    <t>Sales Flow Diagrams</t>
  </si>
  <si>
    <t>Business Data Diagrams (BDDs)</t>
  </si>
  <si>
    <t>Inventory Checklists per Process Flow/Use Case</t>
  </si>
  <si>
    <t>Ingredient Data Dictionaries</t>
  </si>
  <si>
    <t>Decision points in an Inventory Checklist</t>
  </si>
  <si>
    <t>Inventory State Tables</t>
  </si>
  <si>
    <t>Process State Diagrams</t>
  </si>
  <si>
    <t>Total objects in a Sales Flow Diagram</t>
  </si>
  <si>
    <t>Daily Sales Reports</t>
  </si>
  <si>
    <t>Quality Assurance Rules</t>
  </si>
  <si>
    <t>Customer Interaction Traces</t>
  </si>
  <si>
    <t>Sales Flow Diagrams per Business Data Diagrams</t>
  </si>
  <si>
    <t xml:space="preserve">Existing recipes for review	</t>
  </si>
  <si>
    <t>Existing bakery systems being updated</t>
  </si>
  <si>
    <t>Small interfacing systems (POS systems)</t>
  </si>
  <si>
    <t>Medium interfacing systems (Inventory)</t>
  </si>
  <si>
    <t>Large interfacing systems (ERP systems)</t>
  </si>
  <si>
    <t>Recipe Flows and/or Use Cases</t>
  </si>
  <si>
    <t>Sales and Inventory Reports</t>
  </si>
  <si>
    <t>System Context Diagrams</t>
  </si>
  <si>
    <t>System Interface Models - small systems (POS systems)</t>
  </si>
  <si>
    <t>System Interface Models - medium systems (Inventory)</t>
  </si>
  <si>
    <t>System Interface Models - large systems (ERP systems)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</si>
</sst>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3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0" fillId="2" borderId="0" xfId="0" applyFill="1" applyAlignment="1" applyProtection="1">
      <alignment horizontal="center" vertical="top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 indent="1"/>
    </xf>
    <xf numFmtId="1" fontId="1" fillId="0" borderId="0" xfId="0" applyNumberFormat="1" applyFont="1" applyAlignment="1">
      <alignment vertical="top"/>
    </xf>
    <xf numFmtId="0" fontId="0" fillId="0" borderId="0" xfId="0" applyAlignment="1" applyProtection="1">
      <alignment horizontal="center" vertical="top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center"/>
    </xf>
    <xf numFmtId="1" fontId="0" fillId="0" borderId="0" xfId="0" applyNumberFormat="1" applyAlignment="1">
      <alignment horizontal="center" vertical="top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 indent="1"/>
    </xf>
    <xf numFmtId="0" fontId="3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center" vertical="center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top"/>
    </xf>
    <xf numFmtId="0" fontId="2" fillId="4" borderId="0" xfId="0" applyFont="1" applyFill="1" applyAlignment="1">
      <alignment vertical="top" wrapText="1"/>
    </xf>
    <xf numFmtId="2" fontId="0" fillId="2" borderId="0" xfId="0" applyNumberFormat="1" applyFill="1" applyAlignment="1" applyProtection="1">
      <alignment horizontal="center" vertical="top"/>
      <protection locked="0"/>
    </xf>
    <xf numFmtId="1" fontId="1" fillId="0" borderId="0" xfId="0" applyNumberFormat="1" applyFont="1" applyAlignment="1">
      <alignment horizontal="center" vertical="center"/>
    </xf>
    <xf numFmtId="0" fontId="2" fillId="5" borderId="0" xfId="0" applyFont="1" applyFill="1" applyAlignment="1">
      <alignment vertical="top" wrapText="1"/>
    </xf>
    <xf numFmtId="0" fontId="2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top" wrapText="1"/>
    </xf>
    <xf numFmtId="0" fontId="0" fillId="6" borderId="0" xfId="0" applyFill="1" applyAlignment="1">
      <alignment horizontal="center" vertical="top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2" borderId="0" xfId="1" applyNumberFormat="1" applyFont="1" applyFill="1" applyBorder="1" applyAlignment="1">
      <alignment horizontal="center" vertical="top"/>
    </xf>
    <xf numFmtId="0" fontId="0" fillId="7" borderId="0" xfId="0" applyFill="1" applyAlignment="1">
      <alignment vertical="top" wrapText="1"/>
    </xf>
    <xf numFmtId="0" fontId="0" fillId="6" borderId="0" xfId="0" applyFill="1" applyAlignment="1" applyProtection="1">
      <alignment horizontal="center" vertical="top"/>
      <protection locked="0"/>
    </xf>
    <xf numFmtId="2" fontId="0" fillId="0" borderId="0" xfId="0" applyNumberFormat="1" applyAlignment="1">
      <alignment horizontal="center" vertical="top"/>
    </xf>
    <xf numFmtId="165" fontId="0" fillId="2" borderId="0" xfId="1" applyNumberFormat="1" applyFont="1" applyFill="1" applyBorder="1" applyAlignment="1">
      <alignment vertical="top"/>
    </xf>
    <xf numFmtId="0" fontId="2" fillId="3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" fontId="0" fillId="0" borderId="0" xfId="0" applyNumberFormat="1" applyAlignment="1">
      <alignment horizontal="center" vertical="top" wrapText="1"/>
    </xf>
    <xf numFmtId="165" fontId="0" fillId="7" borderId="0" xfId="1" applyNumberFormat="1" applyFont="1" applyFill="1" applyBorder="1" applyAlignment="1">
      <alignment horizontal="center" vertical="top" wrapText="1"/>
    </xf>
    <xf numFmtId="1" fontId="1" fillId="7" borderId="0" xfId="0" applyNumberFormat="1" applyFont="1" applyFill="1" applyAlignment="1">
      <alignment horizontal="center" vertical="top"/>
    </xf>
    <xf numFmtId="5" fontId="0" fillId="2" borderId="0" xfId="1" applyNumberFormat="1" applyFont="1" applyFill="1" applyBorder="1" applyAlignment="1">
      <alignment horizontal="center" vertical="top"/>
    </xf>
    <xf numFmtId="0" fontId="5" fillId="0" borderId="0" xfId="0" applyFont="1" applyAlignment="1">
      <alignment vertical="top"/>
    </xf>
    <xf numFmtId="0" fontId="3" fillId="5" borderId="0" xfId="0" applyFont="1" applyFill="1" applyAlignment="1">
      <alignment vertical="top" wrapText="1"/>
    </xf>
    <xf numFmtId="0" fontId="3" fillId="5" borderId="0" xfId="0" applyFont="1" applyFill="1" applyAlignment="1">
      <alignment horizontal="center" vertical="top" wrapText="1"/>
    </xf>
    <xf numFmtId="0" fontId="5" fillId="5" borderId="0" xfId="0" applyFont="1" applyFill="1" applyAlignment="1">
      <alignment vertical="top" wrapText="1"/>
    </xf>
    <xf numFmtId="0" fontId="0" fillId="5" borderId="0" xfId="0" applyFill="1" applyAlignment="1">
      <alignment vertical="top"/>
    </xf>
    <xf numFmtId="0" fontId="0" fillId="5" borderId="0" xfId="0" applyFill="1" applyAlignment="1" applyProtection="1">
      <alignment horizontal="left" vertical="top"/>
      <protection locked="0"/>
    </xf>
    <xf numFmtId="0" fontId="3" fillId="5" borderId="0" xfId="0" applyFont="1" applyFill="1" applyAlignment="1">
      <alignment horizontal="center" vertical="top"/>
    </xf>
    <xf numFmtId="0" fontId="2" fillId="5" borderId="0" xfId="0" applyFont="1" applyFill="1" applyAlignment="1">
      <alignment horizontal="left" vertical="top"/>
    </xf>
    <xf numFmtId="0" fontId="2" fillId="5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0" fontId="3" fillId="5" borderId="0" xfId="0" applyFont="1" applyFill="1" applyAlignment="1">
      <alignment horizontal="left" vertical="top"/>
    </xf>
    <xf numFmtId="0" fontId="2" fillId="4" borderId="0" xfId="0" applyFont="1" applyFill="1" applyAlignment="1">
      <alignment vertical="top"/>
    </xf>
    <xf numFmtId="0" fontId="1" fillId="3" borderId="0" xfId="0" applyFont="1" applyFill="1" applyAlignment="1">
      <alignment vertical="top" wrapText="1"/>
    </xf>
    <xf numFmtId="0" fontId="2" fillId="3" borderId="0" xfId="0" applyFont="1" applyFill="1" applyAlignment="1">
      <alignment horizontal="left" vertical="center" wrapText="1"/>
    </xf>
    <xf numFmtId="0" fontId="0" fillId="6" borderId="0" xfId="0" applyFill="1" applyAlignment="1">
      <alignment vertical="top" wrapText="1"/>
    </xf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 applyAlignment="1">
      <alignment vertical="top" wrapText="1"/>
    </xf>
    <xf numFmtId="0" fontId="3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vertical="top" wrapText="1"/>
    </xf>
    <xf numFmtId="0" fontId="1" fillId="0" borderId="0" xfId="0" applyFont="1"/>
    <xf numFmtId="0" fontId="0" fillId="2" borderId="0" xfId="0" applyFill="1" applyAlignment="1">
      <alignment vertical="top"/>
    </xf>
    <xf numFmtId="0" fontId="0" fillId="7" borderId="0" xfId="0" applyFill="1" applyAlignment="1">
      <alignment vertical="top"/>
    </xf>
    <xf numFmtId="0" fontId="3" fillId="0" borderId="0" xfId="0" applyFont="1" applyAlignment="1">
      <alignment vertical="top" wrapText="1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vertical="top"/>
    </xf>
    <xf numFmtId="0" fontId="2" fillId="8" borderId="0" xfId="0" applyFont="1" applyFill="1" applyAlignment="1">
      <alignment vertical="top" wrapText="1"/>
    </xf>
    <xf numFmtId="0" fontId="2" fillId="8" borderId="0" xfId="0" applyFont="1" applyFill="1" applyAlignment="1">
      <alignment wrapText="1"/>
    </xf>
    <xf numFmtId="0" fontId="8" fillId="0" borderId="0" xfId="0" applyFont="1" applyAlignment="1">
      <alignment wrapText="1"/>
    </xf>
    <xf numFmtId="165" fontId="0" fillId="6" borderId="0" xfId="0" applyNumberFormat="1" applyFill="1" applyAlignment="1">
      <alignment horizontal="center" vertical="top" wrapText="1"/>
    </xf>
    <xf numFmtId="0" fontId="0" fillId="9" borderId="0" xfId="0" applyFill="1" applyAlignment="1">
      <alignment vertical="top" wrapText="1"/>
    </xf>
    <xf numFmtId="0" fontId="0" fillId="9" borderId="0" xfId="0" applyFill="1" applyAlignment="1">
      <alignment horizontal="center" vertical="top"/>
    </xf>
    <xf numFmtId="1" fontId="0" fillId="9" borderId="0" xfId="0" applyNumberFormat="1" applyFill="1" applyAlignment="1">
      <alignment horizontal="center" vertical="top"/>
    </xf>
    <xf numFmtId="0" fontId="0" fillId="9" borderId="0" xfId="0" applyFill="1" applyAlignment="1">
      <alignment horizontal="center" vertical="top" wrapText="1"/>
    </xf>
    <xf numFmtId="1" fontId="0" fillId="9" borderId="0" xfId="0" applyNumberFormat="1" applyFill="1" applyAlignment="1">
      <alignment horizontal="center" vertical="top" wrapText="1"/>
    </xf>
    <xf numFmtId="0" fontId="0" fillId="9" borderId="0" xfId="0" applyFill="1" applyAlignment="1" applyProtection="1">
      <alignment horizontal="center" vertical="top"/>
      <protection locked="0"/>
    </xf>
    <xf numFmtId="0" fontId="0" fillId="9" borderId="0" xfId="0" applyFill="1" applyAlignment="1">
      <alignment vertical="top"/>
    </xf>
    <xf numFmtId="0" fontId="2" fillId="3" borderId="0" xfId="0" applyFont="1" applyFill="1" applyAlignment="1">
      <alignment vertical="top"/>
    </xf>
    <xf numFmtId="2" fontId="0" fillId="2" borderId="0" xfId="0" applyNumberFormat="1" applyFill="1" applyAlignment="1">
      <alignment horizontal="center" vertical="top" wrapText="1"/>
    </xf>
    <xf numFmtId="1" fontId="0" fillId="9" borderId="0" xfId="0" applyNumberFormat="1" applyFill="1" applyAlignment="1" applyProtection="1">
      <alignment horizontal="center" vertical="top"/>
      <protection locked="0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9" fontId="0" fillId="6" borderId="0" xfId="3" applyFont="1" applyFill="1" applyBorder="1" applyAlignment="1">
      <alignment horizontal="center" vertical="top" wrapText="1"/>
    </xf>
    <xf numFmtId="7" fontId="0" fillId="0" borderId="0" xfId="0" applyNumberFormat="1" applyAlignment="1">
      <alignment horizontal="center" vertical="top" wrapText="1"/>
    </xf>
    <xf numFmtId="37" fontId="0" fillId="7" borderId="0" xfId="0" applyNumberFormat="1" applyFill="1" applyAlignment="1">
      <alignment horizontal="center" vertical="top" wrapText="1"/>
    </xf>
    <xf numFmtId="165" fontId="0" fillId="7" borderId="0" xfId="1" applyNumberFormat="1" applyFont="1" applyFill="1" applyBorder="1" applyAlignment="1">
      <alignment vertical="top" wrapText="1"/>
    </xf>
    <xf numFmtId="165" fontId="0" fillId="9" borderId="0" xfId="0" applyNumberFormat="1" applyFill="1" applyAlignment="1">
      <alignment vertical="top" wrapText="1"/>
    </xf>
    <xf numFmtId="37" fontId="0" fillId="9" borderId="0" xfId="2" applyNumberFormat="1" applyFont="1" applyFill="1" applyBorder="1" applyAlignment="1">
      <alignment horizontal="center" vertical="top" wrapText="1"/>
    </xf>
    <xf numFmtId="165" fontId="0" fillId="9" borderId="0" xfId="1" applyNumberFormat="1" applyFont="1" applyFill="1" applyBorder="1" applyAlignment="1">
      <alignment horizontal="center" vertical="top" wrapText="1"/>
    </xf>
    <xf numFmtId="164" fontId="0" fillId="9" borderId="0" xfId="0" applyNumberFormat="1" applyFill="1" applyAlignment="1">
      <alignment horizontal="center" vertical="top" wrapText="1"/>
    </xf>
    <xf numFmtId="5" fontId="0" fillId="9" borderId="0" xfId="0" applyNumberFormat="1" applyFill="1" applyAlignment="1">
      <alignment horizontal="center" vertical="top" wrapText="1"/>
    </xf>
    <xf numFmtId="0" fontId="0" fillId="6" borderId="0" xfId="0" applyFill="1" applyAlignment="1">
      <alignment horizontal="center" vertical="top" wrapText="1"/>
    </xf>
    <xf numFmtId="164" fontId="0" fillId="7" borderId="0" xfId="0" applyNumberFormat="1" applyFill="1" applyAlignment="1">
      <alignment horizontal="center" vertical="top" wrapText="1"/>
    </xf>
    <xf numFmtId="1" fontId="1" fillId="7" borderId="0" xfId="0" applyNumberFormat="1" applyFont="1" applyFill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 vertical="top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40</xdr:row>
      <xdr:rowOff>142876</xdr:rowOff>
    </xdr:from>
    <xdr:to>
      <xdr:col>2</xdr:col>
      <xdr:colOff>4364066</xdr:colOff>
      <xdr:row>47</xdr:row>
      <xdr:rowOff>47626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3400" y="8010526"/>
          <a:ext cx="4364066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22225</xdr:colOff>
      <xdr:row>49</xdr:row>
      <xdr:rowOff>95250</xdr:rowOff>
    </xdr:from>
    <xdr:to>
      <xdr:col>2</xdr:col>
      <xdr:colOff>5651500</xdr:colOff>
      <xdr:row>53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5625" y="9867900"/>
          <a:ext cx="5629275" cy="781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55</xdr:row>
      <xdr:rowOff>28575</xdr:rowOff>
    </xdr:from>
    <xdr:to>
      <xdr:col>2</xdr:col>
      <xdr:colOff>5610225</xdr:colOff>
      <xdr:row>58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33400" y="11134725"/>
          <a:ext cx="5610225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19050</xdr:colOff>
      <xdr:row>61</xdr:row>
      <xdr:rowOff>9525</xdr:rowOff>
    </xdr:from>
    <xdr:to>
      <xdr:col>2</xdr:col>
      <xdr:colOff>5610225</xdr:colOff>
      <xdr:row>64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52450" y="12639675"/>
          <a:ext cx="5591175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12700</xdr:colOff>
      <xdr:row>17</xdr:row>
      <xdr:rowOff>117944</xdr:rowOff>
    </xdr:from>
    <xdr:to>
      <xdr:col>2</xdr:col>
      <xdr:colOff>5575300</xdr:colOff>
      <xdr:row>25</xdr:row>
      <xdr:rowOff>67641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0" y="3515194"/>
          <a:ext cx="5562600" cy="142289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ptain.seilevel.com/Users/jbeatty/AppData/Local/Microsoft/Windows/Temporary%20Internet%20Files/Content.Outlook/VEES3U4G/Project%20Estimation%20Template%20v6%20jg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Assumptions"/>
      <sheetName val="Instructions"/>
    </sheetNames>
    <sheetDataSet>
      <sheetData sheetId="0">
        <row r="1">
          <cell r="M1" t="str">
            <v>COTS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84"/>
  <sheetViews>
    <sheetView tabSelected="1" topLeftCell="A14" zoomScaleNormal="100" workbookViewId="0">
      <selection activeCell="C85" sqref="C85"/>
    </sheetView>
  </sheetViews>
  <sheetFormatPr defaultRowHeight="15" x14ac:dyDescent="0.25"/>
  <cols>
    <col min="1" max="1" width="4.28515625" customWidth="1"/>
    <col min="2" max="2" width="3.7109375" customWidth="1"/>
    <col min="3" max="3" width="98.140625" style="78" customWidth="1"/>
  </cols>
  <sheetData>
    <row r="1" spans="1:3" ht="21" x14ac:dyDescent="0.35">
      <c r="A1" s="77" t="s">
        <v>147</v>
      </c>
    </row>
    <row r="2" spans="1:3" x14ac:dyDescent="0.25">
      <c r="B2" s="73">
        <v>1</v>
      </c>
      <c r="C2" t="s">
        <v>225</v>
      </c>
    </row>
    <row r="3" spans="1:3" x14ac:dyDescent="0.25">
      <c r="B3" s="73">
        <v>2</v>
      </c>
      <c r="C3" t="s">
        <v>226</v>
      </c>
    </row>
    <row r="4" spans="1:3" x14ac:dyDescent="0.25">
      <c r="B4" s="73">
        <v>3</v>
      </c>
      <c r="C4" t="s">
        <v>227</v>
      </c>
    </row>
    <row r="6" spans="1:3" ht="21" x14ac:dyDescent="0.35">
      <c r="A6" s="77" t="s">
        <v>148</v>
      </c>
    </row>
    <row r="7" spans="1:3" ht="18.75" x14ac:dyDescent="0.3">
      <c r="A7" s="73"/>
      <c r="B7" s="79" t="s">
        <v>149</v>
      </c>
    </row>
    <row r="8" spans="1:3" x14ac:dyDescent="0.25">
      <c r="B8" s="74"/>
      <c r="C8" t="s">
        <v>228</v>
      </c>
    </row>
    <row r="9" spans="1:3" x14ac:dyDescent="0.25">
      <c r="B9" s="66"/>
      <c r="C9" t="s">
        <v>229</v>
      </c>
    </row>
    <row r="10" spans="1:3" x14ac:dyDescent="0.25">
      <c r="B10" s="91"/>
      <c r="C10" t="s">
        <v>230</v>
      </c>
    </row>
    <row r="11" spans="1:3" x14ac:dyDescent="0.25">
      <c r="B11" s="75"/>
      <c r="C11" t="s">
        <v>231</v>
      </c>
    </row>
    <row r="12" spans="1:3" x14ac:dyDescent="0.25">
      <c r="B12" s="1"/>
      <c r="C12" s="5"/>
    </row>
    <row r="13" spans="1:3" x14ac:dyDescent="0.25">
      <c r="B13" s="1"/>
      <c r="C13" s="5"/>
    </row>
    <row r="14" spans="1:3" ht="18.75" x14ac:dyDescent="0.25">
      <c r="B14" s="80" t="s">
        <v>150</v>
      </c>
      <c r="C14" s="5"/>
    </row>
    <row r="15" spans="1:3" x14ac:dyDescent="0.25">
      <c r="B15" s="1"/>
      <c r="C15" t="s">
        <v>234</v>
      </c>
    </row>
    <row r="16" spans="1:3" x14ac:dyDescent="0.25">
      <c r="B16" s="1"/>
      <c r="C16" s="5"/>
    </row>
    <row r="17" spans="2:3" x14ac:dyDescent="0.25">
      <c r="B17" s="1"/>
      <c r="C17" s="81" t="s">
        <v>151</v>
      </c>
    </row>
    <row r="18" spans="2:3" x14ac:dyDescent="0.25">
      <c r="B18" s="1"/>
      <c r="C18" s="5"/>
    </row>
    <row r="28" spans="2:3" x14ac:dyDescent="0.25">
      <c r="C28" t="s">
        <v>232</v>
      </c>
    </row>
    <row r="29" spans="2:3" x14ac:dyDescent="0.25">
      <c r="C29" t="s">
        <v>233</v>
      </c>
    </row>
    <row r="34" spans="3:3" x14ac:dyDescent="0.25">
      <c r="C34" s="82" t="s">
        <v>172</v>
      </c>
    </row>
    <row r="35" spans="3:3" ht="30" x14ac:dyDescent="0.25">
      <c r="C35" s="78" t="s">
        <v>173</v>
      </c>
    </row>
    <row r="37" spans="3:3" x14ac:dyDescent="0.25">
      <c r="C37" s="82" t="s">
        <v>152</v>
      </c>
    </row>
    <row r="38" spans="3:3" x14ac:dyDescent="0.25">
      <c r="C38" s="78" t="s">
        <v>177</v>
      </c>
    </row>
    <row r="39" spans="3:3" x14ac:dyDescent="0.25">
      <c r="C39" s="78" t="s">
        <v>178</v>
      </c>
    </row>
    <row r="40" spans="3:3" ht="30" x14ac:dyDescent="0.25">
      <c r="C40" s="78" t="s">
        <v>179</v>
      </c>
    </row>
    <row r="49" spans="1:3" ht="30" x14ac:dyDescent="0.25">
      <c r="C49" s="78" t="s">
        <v>180</v>
      </c>
    </row>
    <row r="55" spans="1:3" x14ac:dyDescent="0.25">
      <c r="A55" s="73"/>
      <c r="C55" s="78" t="s">
        <v>181</v>
      </c>
    </row>
    <row r="60" spans="1:3" x14ac:dyDescent="0.25">
      <c r="C60" s="78" t="s">
        <v>183</v>
      </c>
    </row>
    <row r="61" spans="1:3" ht="30" x14ac:dyDescent="0.25">
      <c r="C61" s="78" t="s">
        <v>182</v>
      </c>
    </row>
    <row r="66" spans="1:3" ht="18.75" x14ac:dyDescent="0.3">
      <c r="A66" s="73"/>
      <c r="B66" s="79" t="s">
        <v>153</v>
      </c>
      <c r="C66" s="83"/>
    </row>
    <row r="67" spans="1:3" ht="30.75" x14ac:dyDescent="0.3">
      <c r="A67" s="73"/>
      <c r="B67" s="79"/>
      <c r="C67" s="95" t="s">
        <v>154</v>
      </c>
    </row>
    <row r="68" spans="1:3" ht="18.75" x14ac:dyDescent="0.3">
      <c r="A68" s="73"/>
      <c r="B68" s="79"/>
      <c r="C68" s="95" t="s">
        <v>174</v>
      </c>
    </row>
    <row r="69" spans="1:3" x14ac:dyDescent="0.25">
      <c r="C69" s="78" t="s">
        <v>209</v>
      </c>
    </row>
    <row r="71" spans="1:3" x14ac:dyDescent="0.25">
      <c r="C71" s="63" t="s">
        <v>175</v>
      </c>
    </row>
    <row r="72" spans="1:3" x14ac:dyDescent="0.25">
      <c r="C72" s="78" t="s">
        <v>184</v>
      </c>
    </row>
    <row r="74" spans="1:3" x14ac:dyDescent="0.25">
      <c r="C74" s="63" t="s">
        <v>176</v>
      </c>
    </row>
    <row r="75" spans="1:3" x14ac:dyDescent="0.25">
      <c r="C75" s="78" t="s">
        <v>140</v>
      </c>
    </row>
    <row r="77" spans="1:3" x14ac:dyDescent="0.25">
      <c r="C77" s="78" t="s">
        <v>185</v>
      </c>
    </row>
    <row r="79" spans="1:3" ht="30" x14ac:dyDescent="0.25">
      <c r="C79" s="78" t="s">
        <v>141</v>
      </c>
    </row>
    <row r="81" spans="1:1" x14ac:dyDescent="0.25">
      <c r="A81" s="109"/>
    </row>
    <row r="82" spans="1:1" x14ac:dyDescent="0.25">
      <c r="A82" s="110"/>
    </row>
    <row r="83" spans="1:1" x14ac:dyDescent="0.25">
      <c r="A83" s="109"/>
    </row>
    <row r="84" spans="1:1" x14ac:dyDescent="0.25">
      <c r="A84" s="109"/>
    </row>
  </sheetData>
  <printOptions gridLines="1"/>
  <pageMargins left="0.25" right="0.25" top="0.75" bottom="0.75" header="0.3" footer="0.3"/>
  <pageSetup fitToHeight="0" orientation="landscape" r:id="rId1"/>
  <headerFooter>
    <oddHeader>&amp;C&amp;K00-047Requirements Estimation Tool
&amp;A&amp;R&amp;K00-047Page &amp;P of &amp;N</oddHeader>
    <oddFooter>&amp;CCopyright © 2013 by Karl Wiegers and Seilevel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80"/>
  <sheetViews>
    <sheetView topLeftCell="A14" zoomScaleNormal="100" workbookViewId="0">
      <selection activeCell="B46" sqref="B46"/>
    </sheetView>
  </sheetViews>
  <sheetFormatPr defaultColWidth="9.140625" defaultRowHeight="15" x14ac:dyDescent="0.25"/>
  <cols>
    <col min="1" max="1" width="8.85546875" style="5" customWidth="1"/>
    <col min="2" max="2" width="46.140625" style="5" customWidth="1"/>
    <col min="3" max="3" width="11.85546875" style="46" customWidth="1"/>
    <col min="4" max="4" width="11.28515625" style="5" customWidth="1"/>
    <col min="5" max="5" width="9.85546875" style="5" customWidth="1"/>
    <col min="6" max="6" width="9.28515625" style="5" customWidth="1"/>
    <col min="7" max="7" width="13.140625" style="5" customWidth="1"/>
    <col min="8" max="8" width="35.7109375" style="19" customWidth="1"/>
    <col min="9" max="10" width="16" style="5" hidden="1" customWidth="1"/>
    <col min="11" max="16384" width="9.140625" style="5"/>
  </cols>
  <sheetData>
    <row r="1" spans="1:8" x14ac:dyDescent="0.25">
      <c r="A1" s="26"/>
      <c r="B1" s="1" t="s">
        <v>207</v>
      </c>
      <c r="C1" s="5"/>
    </row>
    <row r="2" spans="1:8" x14ac:dyDescent="0.25">
      <c r="A2" s="66"/>
      <c r="B2" s="1" t="s">
        <v>208</v>
      </c>
      <c r="C2" s="5"/>
    </row>
    <row r="3" spans="1:8" x14ac:dyDescent="0.25">
      <c r="A3" s="85"/>
      <c r="B3" s="1" t="s">
        <v>223</v>
      </c>
      <c r="C3" s="5"/>
      <c r="D3" s="1"/>
    </row>
    <row r="4" spans="1:8" x14ac:dyDescent="0.25">
      <c r="A4" s="41"/>
      <c r="B4" s="1" t="s">
        <v>138</v>
      </c>
      <c r="C4" s="5"/>
      <c r="D4" s="1"/>
    </row>
    <row r="5" spans="1:8" s="53" customFormat="1" x14ac:dyDescent="0.25">
      <c r="A5" s="31" t="s">
        <v>92</v>
      </c>
      <c r="C5" s="54"/>
      <c r="H5" s="33"/>
    </row>
    <row r="6" spans="1:8" s="4" customFormat="1" x14ac:dyDescent="0.25">
      <c r="A6" s="65" t="s">
        <v>48</v>
      </c>
      <c r="B6" s="24" t="s">
        <v>101</v>
      </c>
      <c r="D6" s="4" t="s">
        <v>48</v>
      </c>
      <c r="E6" s="4" t="s">
        <v>101</v>
      </c>
      <c r="F6" s="25"/>
      <c r="G6" s="25"/>
      <c r="H6" s="23"/>
    </row>
    <row r="7" spans="1:8" s="34" customFormat="1" x14ac:dyDescent="0.25">
      <c r="A7" s="27">
        <v>100</v>
      </c>
      <c r="B7" s="1" t="s">
        <v>288</v>
      </c>
      <c r="D7" s="44">
        <v>2000000</v>
      </c>
      <c r="E7" s="112" t="s">
        <v>142</v>
      </c>
      <c r="F7" s="112"/>
      <c r="G7" s="112"/>
    </row>
    <row r="8" spans="1:8" s="34" customFormat="1" x14ac:dyDescent="0.25">
      <c r="A8" s="27">
        <v>1</v>
      </c>
      <c r="B8" s="111" t="s">
        <v>289</v>
      </c>
      <c r="D8" s="51">
        <v>125</v>
      </c>
      <c r="E8" s="52" t="s">
        <v>190</v>
      </c>
      <c r="G8" s="68"/>
    </row>
    <row r="9" spans="1:8" s="34" customFormat="1" x14ac:dyDescent="0.25">
      <c r="A9" s="36">
        <v>52</v>
      </c>
      <c r="B9" s="111" t="s">
        <v>69</v>
      </c>
      <c r="D9" s="40" t="s">
        <v>85</v>
      </c>
      <c r="E9" s="52" t="s">
        <v>222</v>
      </c>
    </row>
    <row r="10" spans="1:8" s="34" customFormat="1" x14ac:dyDescent="0.25">
      <c r="A10" s="27">
        <v>50</v>
      </c>
      <c r="B10" t="s">
        <v>290</v>
      </c>
      <c r="D10" s="27">
        <v>8</v>
      </c>
      <c r="E10" s="52" t="s">
        <v>143</v>
      </c>
      <c r="F10" s="1"/>
    </row>
    <row r="11" spans="1:8" s="1" customFormat="1" x14ac:dyDescent="0.25">
      <c r="A11" s="27">
        <v>2</v>
      </c>
      <c r="B11" t="s">
        <v>291</v>
      </c>
      <c r="D11" s="6" t="s">
        <v>39</v>
      </c>
      <c r="E11" s="1" t="s">
        <v>59</v>
      </c>
      <c r="F11" s="5"/>
    </row>
    <row r="12" spans="1:8" x14ac:dyDescent="0.25">
      <c r="A12" s="27">
        <v>1</v>
      </c>
      <c r="B12" t="s">
        <v>292</v>
      </c>
      <c r="D12" s="6">
        <f>28*2</f>
        <v>56</v>
      </c>
      <c r="E12" s="1" t="s">
        <v>144</v>
      </c>
      <c r="F12" s="1"/>
    </row>
    <row r="13" spans="1:8" s="1" customFormat="1" ht="15.75" customHeight="1" x14ac:dyDescent="0.25">
      <c r="A13" s="27">
        <v>50</v>
      </c>
      <c r="B13" t="s">
        <v>293</v>
      </c>
      <c r="D13" s="6">
        <v>28</v>
      </c>
      <c r="E13" s="1" t="s">
        <v>145</v>
      </c>
    </row>
    <row r="14" spans="1:8" s="1" customFormat="1" ht="15.75" customHeight="1" x14ac:dyDescent="0.25">
      <c r="A14" s="27">
        <v>2</v>
      </c>
      <c r="B14" t="s">
        <v>52</v>
      </c>
    </row>
    <row r="15" spans="1:8" s="1" customFormat="1" ht="15.75" customHeight="1" x14ac:dyDescent="0.25">
      <c r="A15" s="27">
        <v>100</v>
      </c>
      <c r="B15" t="s">
        <v>220</v>
      </c>
      <c r="G15" s="35"/>
      <c r="H15" s="18"/>
    </row>
    <row r="16" spans="1:8" s="1" customFormat="1" x14ac:dyDescent="0.25">
      <c r="A16" s="27">
        <v>100</v>
      </c>
      <c r="B16" t="s">
        <v>294</v>
      </c>
      <c r="G16" s="35"/>
      <c r="H16" s="18"/>
    </row>
    <row r="17" spans="1:8" s="53" customFormat="1" x14ac:dyDescent="0.25">
      <c r="A17" s="60" t="s">
        <v>211</v>
      </c>
      <c r="C17" s="54"/>
      <c r="H17" s="33"/>
    </row>
    <row r="18" spans="1:8" s="4" customFormat="1" ht="30" x14ac:dyDescent="0.25">
      <c r="A18" s="65"/>
      <c r="B18" s="24"/>
      <c r="C18" s="4" t="s">
        <v>203</v>
      </c>
      <c r="D18" s="4" t="s">
        <v>205</v>
      </c>
      <c r="E18" s="4" t="s">
        <v>204</v>
      </c>
      <c r="F18" s="25"/>
      <c r="G18" s="25"/>
      <c r="H18" s="23"/>
    </row>
    <row r="19" spans="1:8" x14ac:dyDescent="0.25">
      <c r="B19" s="41" t="s">
        <v>221</v>
      </c>
      <c r="C19" s="99">
        <f>C79</f>
        <v>2.1428571428571428</v>
      </c>
      <c r="D19" s="107">
        <f>C70</f>
        <v>2.6666666666666665</v>
      </c>
      <c r="E19" s="107">
        <f>C62</f>
        <v>3.1043749999999997</v>
      </c>
      <c r="F19" s="1" t="s">
        <v>212</v>
      </c>
    </row>
    <row r="20" spans="1:8" x14ac:dyDescent="0.25">
      <c r="B20" s="41" t="s">
        <v>194</v>
      </c>
      <c r="C20" s="49">
        <f>ROUND(C78,-3)</f>
        <v>300000</v>
      </c>
      <c r="D20" s="100">
        <f>ROUND(C71,-3)</f>
        <v>373000</v>
      </c>
      <c r="E20" s="100">
        <f>ROUND(C63,-3)</f>
        <v>435000</v>
      </c>
    </row>
    <row r="21" spans="1:8" x14ac:dyDescent="0.25">
      <c r="B21" s="41" t="s">
        <v>195</v>
      </c>
      <c r="C21" s="49">
        <f>ROUND(C80,-3)</f>
        <v>600000</v>
      </c>
      <c r="D21" s="100">
        <f>ROUND(C72,-3)</f>
        <v>747000</v>
      </c>
      <c r="E21" s="100">
        <f>ROUND(C64,-3)</f>
        <v>869000</v>
      </c>
    </row>
    <row r="22" spans="1:8" s="56" customFormat="1" ht="15" customHeight="1" x14ac:dyDescent="0.25">
      <c r="A22" s="59" t="s">
        <v>93</v>
      </c>
      <c r="B22" s="55"/>
      <c r="G22" s="32"/>
      <c r="H22" s="57"/>
    </row>
    <row r="23" spans="1:8" s="4" customFormat="1" ht="30" customHeight="1" x14ac:dyDescent="0.25">
      <c r="A23" s="25" t="s">
        <v>0</v>
      </c>
      <c r="B23" s="25" t="s">
        <v>60</v>
      </c>
      <c r="C23" s="45" t="s">
        <v>90</v>
      </c>
      <c r="D23" s="25" t="s">
        <v>95</v>
      </c>
      <c r="E23" s="25" t="s">
        <v>68</v>
      </c>
      <c r="F23" s="25" t="s">
        <v>91</v>
      </c>
      <c r="G23" s="25" t="s">
        <v>100</v>
      </c>
      <c r="H23" s="25" t="s">
        <v>67</v>
      </c>
    </row>
    <row r="24" spans="1:8" s="3" customFormat="1" x14ac:dyDescent="0.25">
      <c r="A24" s="3" t="s">
        <v>84</v>
      </c>
      <c r="C24" s="50">
        <f>SUM(D25:D33)</f>
        <v>218.83333333333334</v>
      </c>
      <c r="H24" s="16"/>
    </row>
    <row r="25" spans="1:8" s="3" customFormat="1" x14ac:dyDescent="0.25">
      <c r="B25" s="1" t="s">
        <v>46</v>
      </c>
      <c r="C25" s="7"/>
      <c r="D25" s="108">
        <f t="shared" ref="D25:D31" si="0">G25/60</f>
        <v>7</v>
      </c>
      <c r="E25" s="39">
        <f>Assumptions!C29</f>
        <v>420</v>
      </c>
      <c r="F25" s="67" t="s">
        <v>40</v>
      </c>
      <c r="G25" s="39">
        <f>E25</f>
        <v>420</v>
      </c>
      <c r="H25" s="16"/>
    </row>
    <row r="26" spans="1:8" s="1" customFormat="1" x14ac:dyDescent="0.25">
      <c r="A26" s="7"/>
      <c r="B26" s="1" t="s">
        <v>45</v>
      </c>
      <c r="C26" s="7"/>
      <c r="D26" s="108">
        <f t="shared" si="0"/>
        <v>119</v>
      </c>
      <c r="E26" s="17">
        <f>Assumptions!C32</f>
        <v>255</v>
      </c>
      <c r="F26" s="37">
        <f>D13</f>
        <v>28</v>
      </c>
      <c r="G26" s="38">
        <f t="shared" ref="G26" si="1">E26*F26</f>
        <v>7140</v>
      </c>
      <c r="H26" s="18" t="s">
        <v>102</v>
      </c>
    </row>
    <row r="27" spans="1:8" s="1" customFormat="1" x14ac:dyDescent="0.25">
      <c r="A27" s="7"/>
      <c r="B27" s="1" t="s">
        <v>47</v>
      </c>
      <c r="C27" s="7"/>
      <c r="D27" s="108">
        <f t="shared" si="0"/>
        <v>5</v>
      </c>
      <c r="E27" s="17">
        <f>Assumptions!C38</f>
        <v>300</v>
      </c>
      <c r="F27" s="67" t="s">
        <v>40</v>
      </c>
      <c r="G27" s="39">
        <f>E27</f>
        <v>300</v>
      </c>
      <c r="H27" s="18"/>
    </row>
    <row r="28" spans="1:8" s="1" customFormat="1" x14ac:dyDescent="0.25">
      <c r="A28" s="7"/>
      <c r="B28" s="1" t="s">
        <v>214</v>
      </c>
      <c r="C28" s="7"/>
      <c r="D28" s="108">
        <f t="shared" si="0"/>
        <v>9.5</v>
      </c>
      <c r="E28" s="17">
        <f>Assumptions!C39</f>
        <v>570</v>
      </c>
      <c r="F28" s="67" t="s">
        <v>40</v>
      </c>
      <c r="G28" s="39">
        <f>E28</f>
        <v>570</v>
      </c>
      <c r="H28" s="18"/>
    </row>
    <row r="29" spans="1:8" s="1" customFormat="1" x14ac:dyDescent="0.25">
      <c r="A29" s="7"/>
      <c r="B29" s="1" t="s">
        <v>103</v>
      </c>
      <c r="C29" s="7"/>
      <c r="D29" s="108">
        <f t="shared" si="0"/>
        <v>20</v>
      </c>
      <c r="E29" s="17">
        <f>Assumptions!C40</f>
        <v>1200</v>
      </c>
      <c r="F29" s="67" t="s">
        <v>40</v>
      </c>
      <c r="G29" s="39">
        <f>E29</f>
        <v>1200</v>
      </c>
      <c r="H29" s="18"/>
    </row>
    <row r="30" spans="1:8" s="1" customFormat="1" x14ac:dyDescent="0.25">
      <c r="A30" s="7"/>
      <c r="B30" s="1" t="s">
        <v>104</v>
      </c>
      <c r="C30" s="7"/>
      <c r="D30" s="108">
        <f t="shared" si="0"/>
        <v>16</v>
      </c>
      <c r="E30" s="17">
        <f>Assumptions!C44</f>
        <v>960</v>
      </c>
      <c r="F30" s="67" t="s">
        <v>40</v>
      </c>
      <c r="G30" s="39">
        <f>E30</f>
        <v>960</v>
      </c>
      <c r="H30" s="18"/>
    </row>
    <row r="31" spans="1:8" s="1" customFormat="1" x14ac:dyDescent="0.25">
      <c r="A31" s="7"/>
      <c r="B31" s="1" t="s">
        <v>108</v>
      </c>
      <c r="C31" s="7"/>
      <c r="D31" s="108">
        <f t="shared" si="0"/>
        <v>35</v>
      </c>
      <c r="E31" s="43">
        <f>Assumptions!C51</f>
        <v>1</v>
      </c>
      <c r="F31" s="86">
        <f>Assumptions!C14</f>
        <v>2100</v>
      </c>
      <c r="G31" s="39">
        <f t="shared" ref="G31:G33" si="2">E31*F31</f>
        <v>2100</v>
      </c>
      <c r="H31" s="18"/>
    </row>
    <row r="32" spans="1:8" s="1" customFormat="1" x14ac:dyDescent="0.25">
      <c r="A32" s="7"/>
      <c r="B32" s="1" t="s">
        <v>105</v>
      </c>
      <c r="C32" s="7"/>
      <c r="D32" s="108">
        <f t="shared" ref="D32:D33" si="3">G32/60</f>
        <v>3.3333333333333335</v>
      </c>
      <c r="E32" s="43">
        <f>Assumptions!C47</f>
        <v>2</v>
      </c>
      <c r="F32" s="37">
        <f>A7</f>
        <v>100</v>
      </c>
      <c r="G32" s="39">
        <f t="shared" si="2"/>
        <v>200</v>
      </c>
      <c r="H32" s="18"/>
    </row>
    <row r="33" spans="1:8" s="1" customFormat="1" x14ac:dyDescent="0.25">
      <c r="A33" s="7"/>
      <c r="B33" s="1" t="s">
        <v>106</v>
      </c>
      <c r="C33" s="7"/>
      <c r="D33" s="108">
        <f t="shared" si="3"/>
        <v>4</v>
      </c>
      <c r="E33" s="17">
        <f>Assumptions!C49</f>
        <v>240</v>
      </c>
      <c r="F33" s="37">
        <f>A8</f>
        <v>1</v>
      </c>
      <c r="G33" s="39">
        <f t="shared" si="2"/>
        <v>240</v>
      </c>
      <c r="H33" s="18"/>
    </row>
    <row r="34" spans="1:8" s="1" customFormat="1" x14ac:dyDescent="0.25">
      <c r="A34" s="7"/>
      <c r="C34" s="7"/>
      <c r="D34" s="30"/>
      <c r="E34" s="30"/>
      <c r="F34" s="30"/>
      <c r="G34" s="39"/>
      <c r="H34" s="18"/>
    </row>
    <row r="35" spans="1:8" s="1" customFormat="1" x14ac:dyDescent="0.25">
      <c r="A35" s="3" t="s">
        <v>2</v>
      </c>
      <c r="B35" s="15"/>
      <c r="C35" s="50">
        <f>SUM(D36:D39)</f>
        <v>1296.7333333333333</v>
      </c>
      <c r="D35" s="30"/>
      <c r="E35" s="7"/>
      <c r="F35" s="7"/>
      <c r="G35" s="7"/>
      <c r="H35" s="18" t="s">
        <v>210</v>
      </c>
    </row>
    <row r="36" spans="1:8" s="1" customFormat="1" x14ac:dyDescent="0.25">
      <c r="A36" s="7"/>
      <c r="B36" s="1" t="s">
        <v>146</v>
      </c>
      <c r="C36" s="7"/>
      <c r="D36" s="108">
        <f>G36/60</f>
        <v>546.66666666666663</v>
      </c>
      <c r="E36" s="39">
        <f>Assumptions!C65</f>
        <v>656</v>
      </c>
      <c r="F36" s="37">
        <f>A13</f>
        <v>50</v>
      </c>
      <c r="G36" s="38">
        <f>E36*F36</f>
        <v>32800</v>
      </c>
      <c r="H36" s="18"/>
    </row>
    <row r="37" spans="1:8" s="1" customFormat="1" x14ac:dyDescent="0.25">
      <c r="A37" s="3"/>
      <c r="B37" s="15" t="s">
        <v>50</v>
      </c>
      <c r="C37" s="7"/>
      <c r="D37" s="108">
        <f>G37/60</f>
        <v>10.9</v>
      </c>
      <c r="E37" s="39">
        <f>Assumptions!C56</f>
        <v>654</v>
      </c>
      <c r="F37" s="86">
        <f>ROUND(A9/50,0)</f>
        <v>1</v>
      </c>
      <c r="G37" s="38">
        <f>E37*F37</f>
        <v>654</v>
      </c>
      <c r="H37" s="18"/>
    </row>
    <row r="38" spans="1:8" s="1" customFormat="1" x14ac:dyDescent="0.25">
      <c r="A38" s="7"/>
      <c r="B38" s="1" t="s">
        <v>213</v>
      </c>
      <c r="C38" s="7"/>
      <c r="D38" s="108">
        <f>G38/60</f>
        <v>720</v>
      </c>
      <c r="E38" s="39">
        <f>Assumptions!C72</f>
        <v>216</v>
      </c>
      <c r="F38" s="86">
        <f>Assumptions!C6</f>
        <v>200</v>
      </c>
      <c r="G38" s="38">
        <f t="shared" ref="G38:G39" si="4">E38*F38</f>
        <v>43200</v>
      </c>
      <c r="H38" s="18"/>
    </row>
    <row r="39" spans="1:8" s="1" customFormat="1" x14ac:dyDescent="0.25">
      <c r="A39" s="7"/>
      <c r="B39" s="1" t="s">
        <v>51</v>
      </c>
      <c r="C39" s="7"/>
      <c r="D39" s="108">
        <f>G39/60</f>
        <v>19.166666666666668</v>
      </c>
      <c r="E39" s="39">
        <f>Assumptions!C79</f>
        <v>230</v>
      </c>
      <c r="F39" s="86">
        <f>Assumptions!C7</f>
        <v>5</v>
      </c>
      <c r="G39" s="38">
        <f t="shared" si="4"/>
        <v>1150</v>
      </c>
      <c r="H39" s="18"/>
    </row>
    <row r="40" spans="1:8" s="1" customFormat="1" x14ac:dyDescent="0.25">
      <c r="A40" s="7"/>
      <c r="C40" s="7"/>
      <c r="D40" s="30"/>
      <c r="E40" s="7"/>
      <c r="F40" s="7"/>
      <c r="G40" s="7"/>
      <c r="H40" s="18"/>
    </row>
    <row r="41" spans="1:8" s="1" customFormat="1" x14ac:dyDescent="0.25">
      <c r="A41" s="3" t="s">
        <v>12</v>
      </c>
      <c r="C41" s="50">
        <f>SUM(D42:D46)</f>
        <v>835.83333333333326</v>
      </c>
      <c r="D41" s="30"/>
      <c r="E41" s="7"/>
      <c r="F41" s="7"/>
      <c r="G41" s="7"/>
    </row>
    <row r="42" spans="1:8" s="1" customFormat="1" ht="15.75" customHeight="1" x14ac:dyDescent="0.25">
      <c r="A42" s="7"/>
      <c r="B42" t="s">
        <v>295</v>
      </c>
      <c r="C42" s="7"/>
      <c r="D42" s="108">
        <f>G42/60</f>
        <v>12.5</v>
      </c>
      <c r="E42" s="39">
        <f>Assumptions!C87</f>
        <v>750</v>
      </c>
      <c r="F42" s="86">
        <f>IF(ROUND(SUM(A10+A11+A12)/Assumptions!H17,0)=0,1,ROUND(SUM(A10+A11+A12)/Assumptions!H17,0))</f>
        <v>1</v>
      </c>
      <c r="G42" s="38">
        <f>E42*F42</f>
        <v>750</v>
      </c>
      <c r="H42" s="18"/>
    </row>
    <row r="43" spans="1:8" s="1" customFormat="1" ht="15.75" customHeight="1" x14ac:dyDescent="0.25">
      <c r="A43" s="7"/>
      <c r="B43" t="s">
        <v>296</v>
      </c>
      <c r="C43" s="7"/>
      <c r="D43" s="108">
        <f>G43/60</f>
        <v>250</v>
      </c>
      <c r="E43" s="39">
        <f>Assumptions!D92</f>
        <v>300</v>
      </c>
      <c r="F43" s="37">
        <f>A10</f>
        <v>50</v>
      </c>
      <c r="G43" s="38">
        <f>E43*F43</f>
        <v>15000</v>
      </c>
      <c r="H43" s="18"/>
    </row>
    <row r="44" spans="1:8" s="1" customFormat="1" ht="15.75" customHeight="1" x14ac:dyDescent="0.25">
      <c r="A44" s="7"/>
      <c r="B44" t="s">
        <v>297</v>
      </c>
      <c r="C44" s="7"/>
      <c r="D44" s="108">
        <f t="shared" ref="D44:D45" si="5">G44/60</f>
        <v>33.333333333333336</v>
      </c>
      <c r="E44" s="39">
        <f>Assumptions!D93</f>
        <v>1000</v>
      </c>
      <c r="F44" s="37">
        <f>A11</f>
        <v>2</v>
      </c>
      <c r="G44" s="38">
        <f t="shared" ref="G44:G45" si="6">E44*F44</f>
        <v>2000</v>
      </c>
      <c r="H44" s="18"/>
    </row>
    <row r="45" spans="1:8" s="1" customFormat="1" ht="15.75" customHeight="1" x14ac:dyDescent="0.25">
      <c r="A45" s="7"/>
      <c r="B45" t="s">
        <v>298</v>
      </c>
      <c r="C45" s="7"/>
      <c r="D45" s="108">
        <f t="shared" si="5"/>
        <v>40</v>
      </c>
      <c r="E45" s="39">
        <f>Assumptions!D94</f>
        <v>2400</v>
      </c>
      <c r="F45" s="37">
        <f>A12</f>
        <v>1</v>
      </c>
      <c r="G45" s="38">
        <f t="shared" si="6"/>
        <v>2400</v>
      </c>
      <c r="H45" s="18"/>
    </row>
    <row r="46" spans="1:8" s="1" customFormat="1" x14ac:dyDescent="0.25">
      <c r="A46" s="7"/>
      <c r="B46" t="s">
        <v>107</v>
      </c>
      <c r="C46" s="7"/>
      <c r="D46" s="108">
        <f>G46/60</f>
        <v>500</v>
      </c>
      <c r="E46" s="39">
        <f>Assumptions!C95</f>
        <v>300</v>
      </c>
      <c r="F46" s="37">
        <f>A15</f>
        <v>100</v>
      </c>
      <c r="G46" s="38">
        <f t="shared" ref="G46" si="7">E46*F46</f>
        <v>30000</v>
      </c>
      <c r="H46" s="15" t="s">
        <v>155</v>
      </c>
    </row>
    <row r="47" spans="1:8" s="1" customFormat="1" x14ac:dyDescent="0.25">
      <c r="A47" s="7"/>
      <c r="C47" s="7"/>
      <c r="D47" s="30"/>
      <c r="E47" s="7"/>
      <c r="F47" s="7"/>
      <c r="G47" s="7"/>
      <c r="H47" s="15"/>
    </row>
    <row r="48" spans="1:8" s="1" customFormat="1" x14ac:dyDescent="0.25">
      <c r="A48" s="3" t="s">
        <v>16</v>
      </c>
      <c r="C48" s="50">
        <f>SUM(D49:D54)</f>
        <v>1125.5</v>
      </c>
      <c r="D48" s="30"/>
      <c r="E48" s="7"/>
      <c r="F48" s="7"/>
      <c r="G48" s="7"/>
      <c r="H48" s="15"/>
    </row>
    <row r="49" spans="1:10" s="1" customFormat="1" x14ac:dyDescent="0.25">
      <c r="B49" s="1" t="s">
        <v>52</v>
      </c>
      <c r="C49" s="7"/>
      <c r="D49" s="108">
        <f t="shared" ref="D49:D54" si="8">G49/60</f>
        <v>7</v>
      </c>
      <c r="E49" s="17">
        <f>Assumptions!C104</f>
        <v>210</v>
      </c>
      <c r="F49" s="37">
        <f>A14</f>
        <v>2</v>
      </c>
      <c r="G49" s="38">
        <f>E49*F49</f>
        <v>420</v>
      </c>
      <c r="H49" s="15"/>
    </row>
    <row r="50" spans="1:10" s="1" customFormat="1" x14ac:dyDescent="0.25">
      <c r="A50" s="7"/>
      <c r="B50" s="1" t="s">
        <v>53</v>
      </c>
      <c r="C50" s="7"/>
      <c r="D50" s="108">
        <f t="shared" si="8"/>
        <v>49.5</v>
      </c>
      <c r="E50" s="17">
        <f>Assumptions!C109</f>
        <v>495</v>
      </c>
      <c r="F50" s="87">
        <f>Assumptions!C8</f>
        <v>6</v>
      </c>
      <c r="G50" s="38">
        <f t="shared" ref="G50:G54" si="9">E50*F50</f>
        <v>2970</v>
      </c>
      <c r="H50" s="15"/>
    </row>
    <row r="51" spans="1:10" s="1" customFormat="1" x14ac:dyDescent="0.25">
      <c r="B51" s="1" t="s">
        <v>54</v>
      </c>
      <c r="C51" s="7"/>
      <c r="D51" s="108">
        <f t="shared" si="8"/>
        <v>60</v>
      </c>
      <c r="E51" s="17">
        <f>Assumptions!C115</f>
        <v>180</v>
      </c>
      <c r="F51" s="86">
        <f>Assumptions!C9</f>
        <v>20</v>
      </c>
      <c r="G51" s="38">
        <f t="shared" si="9"/>
        <v>3600</v>
      </c>
      <c r="H51" s="15"/>
    </row>
    <row r="52" spans="1:10" s="1" customFormat="1" x14ac:dyDescent="0.25">
      <c r="A52" s="7"/>
      <c r="B52" s="1" t="s">
        <v>55</v>
      </c>
      <c r="C52" s="7"/>
      <c r="D52" s="108">
        <f t="shared" si="8"/>
        <v>4.5</v>
      </c>
      <c r="E52" s="17">
        <f>Assumptions!C119</f>
        <v>270</v>
      </c>
      <c r="F52" s="86">
        <f>Assumptions!C10</f>
        <v>1</v>
      </c>
      <c r="G52" s="38">
        <f t="shared" si="9"/>
        <v>270</v>
      </c>
      <c r="H52" s="18"/>
    </row>
    <row r="53" spans="1:10" s="1" customFormat="1" x14ac:dyDescent="0.25">
      <c r="A53" s="7"/>
      <c r="B53" s="1" t="s">
        <v>56</v>
      </c>
      <c r="C53" s="7"/>
      <c r="D53" s="108">
        <f t="shared" si="8"/>
        <v>4.5</v>
      </c>
      <c r="E53" s="17">
        <f>Assumptions!C125</f>
        <v>270</v>
      </c>
      <c r="F53" s="86">
        <f>Assumptions!C11</f>
        <v>1</v>
      </c>
      <c r="G53" s="38">
        <f t="shared" si="9"/>
        <v>270</v>
      </c>
      <c r="H53" s="18"/>
    </row>
    <row r="54" spans="1:10" s="1" customFormat="1" x14ac:dyDescent="0.25">
      <c r="A54" s="7"/>
      <c r="B54" s="1" t="s">
        <v>57</v>
      </c>
      <c r="C54" s="7"/>
      <c r="D54" s="108">
        <f t="shared" si="8"/>
        <v>1000</v>
      </c>
      <c r="E54" s="17">
        <f>Assumptions!C131</f>
        <v>600</v>
      </c>
      <c r="F54" s="37">
        <f>A16</f>
        <v>100</v>
      </c>
      <c r="G54" s="38">
        <f t="shared" si="9"/>
        <v>60000</v>
      </c>
      <c r="H54" s="18"/>
    </row>
    <row r="55" spans="1:10" s="1" customFormat="1" x14ac:dyDescent="0.25">
      <c r="A55" s="7"/>
      <c r="C55" s="7"/>
      <c r="D55" s="30"/>
      <c r="E55" s="17"/>
      <c r="F55" s="17"/>
      <c r="G55" s="38"/>
      <c r="H55" s="18"/>
    </row>
    <row r="56" spans="1:10" s="61" customFormat="1" x14ac:dyDescent="0.25">
      <c r="A56" s="60" t="s">
        <v>44</v>
      </c>
      <c r="C56" s="58"/>
      <c r="H56" s="62"/>
    </row>
    <row r="57" spans="1:10" s="1" customFormat="1" x14ac:dyDescent="0.25">
      <c r="B57" s="1" t="s">
        <v>94</v>
      </c>
      <c r="C57" s="17">
        <f>SUM(C24:C54)</f>
        <v>3476.8999999999996</v>
      </c>
      <c r="D57" s="8"/>
      <c r="G57" s="17"/>
      <c r="H57" s="15"/>
    </row>
    <row r="58" spans="1:10" s="1" customFormat="1" x14ac:dyDescent="0.25">
      <c r="B58" s="1" t="s">
        <v>98</v>
      </c>
      <c r="C58" s="96">
        <f>IF(D11="YES",0.1*C57,0)</f>
        <v>0</v>
      </c>
      <c r="D58" s="7"/>
      <c r="E58" s="7"/>
      <c r="F58" s="7"/>
      <c r="G58" s="7"/>
    </row>
    <row r="59" spans="1:10" x14ac:dyDescent="0.25">
      <c r="A59" s="21"/>
      <c r="B59" s="20"/>
      <c r="C59" s="48"/>
      <c r="E59" s="1"/>
      <c r="F59" s="8"/>
    </row>
    <row r="60" spans="1:10" x14ac:dyDescent="0.25">
      <c r="A60" s="16" t="s">
        <v>201</v>
      </c>
      <c r="B60" s="20"/>
      <c r="C60" s="48"/>
      <c r="E60" s="1"/>
      <c r="F60" s="8"/>
    </row>
    <row r="61" spans="1:10" x14ac:dyDescent="0.25">
      <c r="A61" s="15"/>
      <c r="B61" s="15" t="s">
        <v>99</v>
      </c>
      <c r="C61" s="89">
        <f>SUM(C57:C58)</f>
        <v>3476.8999999999996</v>
      </c>
    </row>
    <row r="62" spans="1:10" x14ac:dyDescent="0.25">
      <c r="A62" s="15"/>
      <c r="B62" s="5" t="s">
        <v>196</v>
      </c>
      <c r="C62" s="104">
        <f>C61/40/D13</f>
        <v>3.1043749999999997</v>
      </c>
      <c r="D62" s="1" t="s">
        <v>198</v>
      </c>
      <c r="H62" s="3"/>
      <c r="J62" s="46"/>
    </row>
    <row r="63" spans="1:10" x14ac:dyDescent="0.25">
      <c r="A63" s="15"/>
      <c r="B63" s="5" t="s">
        <v>199</v>
      </c>
      <c r="C63" s="105">
        <f>C61*D$8</f>
        <v>434612.49999999994</v>
      </c>
      <c r="D63" s="1" t="s">
        <v>197</v>
      </c>
      <c r="H63" s="3"/>
      <c r="J63" s="46"/>
    </row>
    <row r="64" spans="1:10" x14ac:dyDescent="0.25">
      <c r="A64" s="15"/>
      <c r="B64" s="5" t="s">
        <v>191</v>
      </c>
      <c r="C64" s="105">
        <f>C62*D$12*40*D$8</f>
        <v>869224.99999999988</v>
      </c>
      <c r="D64" s="1" t="s">
        <v>192</v>
      </c>
      <c r="H64" s="3"/>
      <c r="I64" s="1" t="s">
        <v>89</v>
      </c>
      <c r="J64" s="49">
        <f>C61*D8</f>
        <v>434612.49999999994</v>
      </c>
    </row>
    <row r="65" spans="1:10" x14ac:dyDescent="0.25">
      <c r="A65" s="1"/>
      <c r="H65" s="5"/>
      <c r="I65" s="1" t="s">
        <v>88</v>
      </c>
      <c r="J65" s="49">
        <f>C70*D8*(D12-D13)*40</f>
        <v>373333.33333333326</v>
      </c>
    </row>
    <row r="67" spans="1:10" x14ac:dyDescent="0.25">
      <c r="A67" s="3" t="s">
        <v>193</v>
      </c>
    </row>
    <row r="68" spans="1:10" x14ac:dyDescent="0.25">
      <c r="B68" s="5" t="s">
        <v>86</v>
      </c>
      <c r="C68" s="106">
        <v>6</v>
      </c>
    </row>
    <row r="69" spans="1:10" x14ac:dyDescent="0.25">
      <c r="B69" s="5" t="s">
        <v>87</v>
      </c>
      <c r="C69" s="106">
        <v>3</v>
      </c>
    </row>
    <row r="70" spans="1:10" x14ac:dyDescent="0.25">
      <c r="B70" s="5" t="s">
        <v>189</v>
      </c>
      <c r="C70" s="104">
        <f>IF(D9="COTS",D10/C69,D10/C68)</f>
        <v>2.6666666666666665</v>
      </c>
    </row>
    <row r="71" spans="1:10" x14ac:dyDescent="0.25">
      <c r="B71" s="5" t="s">
        <v>199</v>
      </c>
      <c r="C71" s="105">
        <f>C70*D$13*40*D$8</f>
        <v>373333.33333333326</v>
      </c>
      <c r="D71" s="1" t="s">
        <v>200</v>
      </c>
    </row>
    <row r="72" spans="1:10" x14ac:dyDescent="0.25">
      <c r="B72" s="5" t="s">
        <v>191</v>
      </c>
      <c r="C72" s="105">
        <f>C70*D$12*40*D$8</f>
        <v>746666.66666666651</v>
      </c>
      <c r="D72" s="1" t="s">
        <v>192</v>
      </c>
    </row>
    <row r="73" spans="1:10" x14ac:dyDescent="0.25">
      <c r="C73" s="5"/>
      <c r="D73" s="1"/>
    </row>
    <row r="74" spans="1:10" x14ac:dyDescent="0.25">
      <c r="C74" s="98"/>
    </row>
    <row r="75" spans="1:10" x14ac:dyDescent="0.25">
      <c r="A75" s="3" t="s">
        <v>202</v>
      </c>
    </row>
    <row r="76" spans="1:10" x14ac:dyDescent="0.25">
      <c r="B76" s="5" t="s">
        <v>70</v>
      </c>
      <c r="C76" s="84">
        <f>D7</f>
        <v>2000000</v>
      </c>
    </row>
    <row r="77" spans="1:10" x14ac:dyDescent="0.25">
      <c r="B77" s="5" t="s">
        <v>186</v>
      </c>
      <c r="C77" s="97">
        <v>0.15</v>
      </c>
      <c r="D77" s="1" t="s">
        <v>187</v>
      </c>
    </row>
    <row r="78" spans="1:10" x14ac:dyDescent="0.25">
      <c r="B78" s="5" t="s">
        <v>194</v>
      </c>
      <c r="C78" s="101">
        <f>C77*C76</f>
        <v>300000</v>
      </c>
    </row>
    <row r="79" spans="1:10" x14ac:dyDescent="0.25">
      <c r="B79" s="5" t="s">
        <v>188</v>
      </c>
      <c r="C79" s="102">
        <f>C78/D8/(D13*40)</f>
        <v>2.1428571428571428</v>
      </c>
      <c r="D79" s="1" t="s">
        <v>200</v>
      </c>
    </row>
    <row r="80" spans="1:10" x14ac:dyDescent="0.25">
      <c r="B80" s="5" t="s">
        <v>195</v>
      </c>
      <c r="C80" s="103">
        <f>C79*D12*D8*40</f>
        <v>600000</v>
      </c>
      <c r="D80" s="1" t="s">
        <v>192</v>
      </c>
    </row>
  </sheetData>
  <mergeCells count="1">
    <mergeCell ref="E7:G7"/>
  </mergeCells>
  <dataValidations count="2">
    <dataValidation type="list" allowBlank="1" showInputMessage="1" showErrorMessage="1" sqref="D11" xr:uid="{00000000-0002-0000-0100-000000000000}">
      <formula1>"Yes,No"</formula1>
    </dataValidation>
    <dataValidation type="list" allowBlank="1" showInputMessage="1" showErrorMessage="1" sqref="D9" xr:uid="{00000000-0002-0000-0100-000001000000}">
      <formula1>"COTS,Standard"</formula1>
    </dataValidation>
  </dataValidations>
  <printOptions gridLines="1"/>
  <pageMargins left="0.25" right="0.25" top="0.75" bottom="0.75" header="0.3" footer="0.3"/>
  <pageSetup scale="89" fitToHeight="0" orientation="landscape" r:id="rId1"/>
  <headerFooter>
    <oddHeader>&amp;C&amp;K00-045Requirements Estimation Tool
&amp;A&amp;R&amp;K00-045Page &amp;P of &amp;N</oddHeader>
  </headerFooter>
  <rowBreaks count="2" manualBreakCount="2">
    <brk id="40" max="16383" man="1"/>
    <brk id="5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38"/>
  <sheetViews>
    <sheetView zoomScaleNormal="100" workbookViewId="0">
      <selection activeCell="G14" sqref="G14"/>
    </sheetView>
  </sheetViews>
  <sheetFormatPr defaultColWidth="9.140625" defaultRowHeight="15" x14ac:dyDescent="0.25"/>
  <cols>
    <col min="1" max="1" width="8.85546875" style="5" customWidth="1"/>
    <col min="2" max="2" width="39.5703125" style="5" customWidth="1"/>
    <col min="3" max="3" width="11.140625" style="5" customWidth="1"/>
    <col min="4" max="4" width="8" style="5" customWidth="1"/>
    <col min="5" max="5" width="12.7109375" style="5" customWidth="1"/>
    <col min="6" max="6" width="10.140625" style="5" customWidth="1"/>
    <col min="7" max="7" width="49.42578125" style="5" customWidth="1"/>
    <col min="8" max="8" width="10.5703125" style="5" customWidth="1"/>
    <col min="9" max="9" width="11.42578125" style="5" customWidth="1"/>
    <col min="10" max="16384" width="9.140625" style="5"/>
  </cols>
  <sheetData>
    <row r="1" spans="1:9" x14ac:dyDescent="0.25">
      <c r="A1" s="26"/>
      <c r="B1" s="73" t="s">
        <v>235</v>
      </c>
      <c r="H1" s="19"/>
      <c r="I1" s="19"/>
    </row>
    <row r="2" spans="1:9" x14ac:dyDescent="0.25">
      <c r="A2" s="66"/>
      <c r="B2" s="73" t="s">
        <v>236</v>
      </c>
      <c r="H2" s="19"/>
      <c r="I2" s="19"/>
    </row>
    <row r="3" spans="1:9" x14ac:dyDescent="0.25">
      <c r="A3" s="85"/>
      <c r="B3" s="73" t="s">
        <v>237</v>
      </c>
      <c r="D3" s="1"/>
      <c r="H3" s="19"/>
      <c r="I3" s="19"/>
    </row>
    <row r="4" spans="1:9" s="28" customFormat="1" x14ac:dyDescent="0.25">
      <c r="A4" s="63" t="s">
        <v>110</v>
      </c>
    </row>
    <row r="5" spans="1:9" s="4" customFormat="1" ht="30" x14ac:dyDescent="0.25">
      <c r="A5" s="64"/>
      <c r="B5" s="4" t="s">
        <v>109</v>
      </c>
      <c r="C5" s="45" t="s">
        <v>48</v>
      </c>
      <c r="D5" s="92" t="s">
        <v>139</v>
      </c>
      <c r="G5" s="4" t="s">
        <v>206</v>
      </c>
      <c r="H5" s="45" t="s">
        <v>97</v>
      </c>
    </row>
    <row r="6" spans="1:9" s="2" customFormat="1" x14ac:dyDescent="0.25">
      <c r="B6" t="s">
        <v>273</v>
      </c>
      <c r="C6" s="88">
        <f>Summary!A13*H7</f>
        <v>200</v>
      </c>
      <c r="D6" s="1" t="s">
        <v>115</v>
      </c>
      <c r="E6" s="5"/>
      <c r="G6" s="5" t="s">
        <v>168</v>
      </c>
      <c r="H6" s="36">
        <v>20</v>
      </c>
    </row>
    <row r="7" spans="1:9" s="2" customFormat="1" x14ac:dyDescent="0.25">
      <c r="B7" t="s">
        <v>274</v>
      </c>
      <c r="C7" s="88">
        <f>Summary!A13*H8</f>
        <v>5</v>
      </c>
      <c r="D7" s="1" t="s">
        <v>167</v>
      </c>
      <c r="E7" s="5"/>
      <c r="G7" t="s">
        <v>275</v>
      </c>
      <c r="H7" s="36">
        <v>4</v>
      </c>
    </row>
    <row r="8" spans="1:9" s="2" customFormat="1" x14ac:dyDescent="0.25">
      <c r="B8" t="s">
        <v>276</v>
      </c>
      <c r="C8" s="89">
        <f>Summary!A14*H14</f>
        <v>6</v>
      </c>
      <c r="D8" t="s">
        <v>277</v>
      </c>
      <c r="E8" s="5"/>
      <c r="G8" t="s">
        <v>278</v>
      </c>
      <c r="H8" s="36">
        <v>0.1</v>
      </c>
    </row>
    <row r="9" spans="1:9" s="2" customFormat="1" x14ac:dyDescent="0.25">
      <c r="B9" t="s">
        <v>279</v>
      </c>
      <c r="C9" s="88">
        <f>Summary!A14*H10</f>
        <v>20</v>
      </c>
      <c r="D9" s="1" t="s">
        <v>63</v>
      </c>
      <c r="G9" t="s">
        <v>280</v>
      </c>
      <c r="H9" s="36">
        <v>10</v>
      </c>
    </row>
    <row r="10" spans="1:9" s="2" customFormat="1" x14ac:dyDescent="0.25">
      <c r="B10" t="s">
        <v>281</v>
      </c>
      <c r="C10" s="88">
        <f>Summary!A14*H12</f>
        <v>1</v>
      </c>
      <c r="D10" s="1" t="s">
        <v>63</v>
      </c>
      <c r="E10" s="5"/>
      <c r="G10" t="s">
        <v>216</v>
      </c>
      <c r="H10" s="36">
        <v>10</v>
      </c>
    </row>
    <row r="11" spans="1:9" s="2" customFormat="1" x14ac:dyDescent="0.25">
      <c r="B11" t="s">
        <v>282</v>
      </c>
      <c r="C11" s="88">
        <f>Summary!A14*H12</f>
        <v>1</v>
      </c>
      <c r="D11" s="1" t="s">
        <v>63</v>
      </c>
      <c r="E11" s="5"/>
      <c r="G11" t="s">
        <v>283</v>
      </c>
      <c r="H11" s="36">
        <v>15</v>
      </c>
    </row>
    <row r="12" spans="1:9" s="2" customFormat="1" x14ac:dyDescent="0.25">
      <c r="B12" s="5" t="s">
        <v>284</v>
      </c>
      <c r="C12" s="88">
        <f>Summary!A13*H22</f>
        <v>700</v>
      </c>
      <c r="D12" s="1" t="s">
        <v>167</v>
      </c>
      <c r="G12" t="s">
        <v>215</v>
      </c>
      <c r="H12" s="36">
        <v>0.5</v>
      </c>
    </row>
    <row r="13" spans="1:9" s="2" customFormat="1" x14ac:dyDescent="0.25">
      <c r="B13" t="s">
        <v>285</v>
      </c>
      <c r="C13" s="88">
        <f>Summary!A13*H22*H21</f>
        <v>2100</v>
      </c>
      <c r="D13" s="1" t="s">
        <v>167</v>
      </c>
      <c r="G13" t="s">
        <v>130</v>
      </c>
      <c r="H13" s="36">
        <v>10</v>
      </c>
    </row>
    <row r="14" spans="1:9" s="2" customFormat="1" x14ac:dyDescent="0.25">
      <c r="B14" t="s">
        <v>286</v>
      </c>
      <c r="C14" s="88">
        <f>Summary!A13*H22*H25</f>
        <v>2100</v>
      </c>
      <c r="D14" s="1" t="s">
        <v>167</v>
      </c>
      <c r="E14" s="5"/>
      <c r="G14" t="s">
        <v>287</v>
      </c>
      <c r="H14" s="36">
        <v>3</v>
      </c>
    </row>
    <row r="15" spans="1:9" s="2" customFormat="1" x14ac:dyDescent="0.25">
      <c r="B15" s="5" t="s">
        <v>210</v>
      </c>
      <c r="C15" s="5"/>
      <c r="D15" s="1"/>
      <c r="E15" s="5"/>
      <c r="G15" s="5" t="s">
        <v>161</v>
      </c>
      <c r="H15" s="93">
        <f>1/3</f>
        <v>0.33333333333333331</v>
      </c>
    </row>
    <row r="16" spans="1:9" s="2" customFormat="1" x14ac:dyDescent="0.25">
      <c r="B16" s="5"/>
      <c r="C16" s="46"/>
      <c r="E16" s="5"/>
      <c r="G16" s="5" t="s">
        <v>156</v>
      </c>
      <c r="H16" s="36">
        <v>50</v>
      </c>
      <c r="I16" s="1"/>
    </row>
    <row r="17" spans="1:9" s="34" customFormat="1" ht="30" x14ac:dyDescent="0.25">
      <c r="C17" s="47" t="s">
        <v>97</v>
      </c>
      <c r="D17" s="76"/>
      <c r="E17" s="76"/>
      <c r="G17" s="5" t="s">
        <v>157</v>
      </c>
      <c r="H17" s="36">
        <v>50</v>
      </c>
      <c r="I17" s="52"/>
    </row>
    <row r="18" spans="1:9" s="2" customFormat="1" x14ac:dyDescent="0.25">
      <c r="B18" s="34"/>
      <c r="D18" s="5"/>
      <c r="E18" s="5"/>
      <c r="G18" s="5" t="s">
        <v>121</v>
      </c>
      <c r="H18" s="36">
        <v>15</v>
      </c>
    </row>
    <row r="19" spans="1:9" s="2" customFormat="1" x14ac:dyDescent="0.25">
      <c r="B19" s="34"/>
      <c r="D19" s="5"/>
      <c r="E19" s="5"/>
      <c r="G19" s="5" t="s">
        <v>135</v>
      </c>
      <c r="H19" s="36">
        <v>20</v>
      </c>
    </row>
    <row r="20" spans="1:9" s="2" customFormat="1" x14ac:dyDescent="0.25">
      <c r="B20" s="34"/>
      <c r="D20" s="5"/>
      <c r="E20" s="5"/>
      <c r="G20" s="5" t="s">
        <v>169</v>
      </c>
      <c r="H20" s="36">
        <v>0.7</v>
      </c>
    </row>
    <row r="21" spans="1:9" s="2" customFormat="1" x14ac:dyDescent="0.25">
      <c r="B21" s="34"/>
      <c r="D21" s="5"/>
      <c r="E21" s="5"/>
      <c r="G21" s="5" t="s">
        <v>96</v>
      </c>
      <c r="H21" s="36">
        <v>3</v>
      </c>
    </row>
    <row r="22" spans="1:9" s="2" customFormat="1" x14ac:dyDescent="0.25">
      <c r="B22" s="34"/>
      <c r="D22" s="5"/>
      <c r="E22" s="5"/>
      <c r="G22" s="5" t="s">
        <v>170</v>
      </c>
      <c r="H22" s="88">
        <f>H6*H20</f>
        <v>14</v>
      </c>
    </row>
    <row r="23" spans="1:9" s="2" customFormat="1" x14ac:dyDescent="0.25">
      <c r="B23" s="34"/>
      <c r="D23" s="5"/>
      <c r="E23" s="5"/>
      <c r="G23" s="5" t="s">
        <v>171</v>
      </c>
      <c r="H23" s="88">
        <f>H22*H21</f>
        <v>42</v>
      </c>
    </row>
    <row r="24" spans="1:9" s="2" customFormat="1" x14ac:dyDescent="0.25">
      <c r="B24" s="34"/>
      <c r="D24" s="5"/>
      <c r="E24" s="5"/>
      <c r="G24" s="5" t="s">
        <v>113</v>
      </c>
      <c r="H24" s="36">
        <v>4</v>
      </c>
    </row>
    <row r="25" spans="1:9" s="2" customFormat="1" ht="30" x14ac:dyDescent="0.25">
      <c r="B25" s="34"/>
      <c r="D25" s="5"/>
      <c r="E25" s="5"/>
      <c r="G25" s="5" t="s">
        <v>114</v>
      </c>
      <c r="H25" s="36">
        <v>3</v>
      </c>
    </row>
    <row r="26" spans="1:9" s="28" customFormat="1" x14ac:dyDescent="0.25">
      <c r="A26" s="63" t="s">
        <v>66</v>
      </c>
      <c r="B26" s="69"/>
      <c r="E26" s="70"/>
      <c r="I26" s="70"/>
    </row>
    <row r="27" spans="1:9" s="71" customFormat="1" ht="45" x14ac:dyDescent="0.25">
      <c r="A27" s="25" t="s">
        <v>0</v>
      </c>
      <c r="B27" s="25" t="s">
        <v>60</v>
      </c>
      <c r="C27" s="25" t="s">
        <v>116</v>
      </c>
      <c r="D27" s="25" t="s">
        <v>38</v>
      </c>
      <c r="E27" s="25" t="s">
        <v>62</v>
      </c>
      <c r="F27" s="25" t="s">
        <v>41</v>
      </c>
      <c r="G27" s="25" t="s">
        <v>67</v>
      </c>
      <c r="H27" s="25" t="s">
        <v>64</v>
      </c>
      <c r="I27" s="25" t="s">
        <v>65</v>
      </c>
    </row>
    <row r="28" spans="1:9" s="3" customFormat="1" x14ac:dyDescent="0.25">
      <c r="A28" s="73" t="s">
        <v>238</v>
      </c>
      <c r="E28" s="11"/>
      <c r="F28" s="11"/>
      <c r="H28" s="11"/>
      <c r="I28" s="11"/>
    </row>
    <row r="29" spans="1:9" s="3" customFormat="1" x14ac:dyDescent="0.25">
      <c r="B29" s="3" t="s">
        <v>46</v>
      </c>
      <c r="C29" s="13">
        <f>SUM(D30:D31)</f>
        <v>420</v>
      </c>
      <c r="E29" s="11"/>
      <c r="F29" s="11"/>
      <c r="H29" s="11"/>
      <c r="I29" s="11"/>
    </row>
    <row r="30" spans="1:9" s="1" customFormat="1" x14ac:dyDescent="0.25">
      <c r="A30" s="7"/>
      <c r="B30" s="12" t="s">
        <v>217</v>
      </c>
      <c r="C30" s="3"/>
      <c r="D30" s="17">
        <f xml:space="preserve"> E30</f>
        <v>180</v>
      </c>
      <c r="E30" s="10">
        <f>AVERAGE(H30:I30)</f>
        <v>180</v>
      </c>
      <c r="F30" s="7" t="s">
        <v>40</v>
      </c>
      <c r="G30" t="s">
        <v>239</v>
      </c>
      <c r="H30" s="7">
        <v>120</v>
      </c>
      <c r="I30" s="7">
        <v>240</v>
      </c>
    </row>
    <row r="31" spans="1:9" s="1" customFormat="1" x14ac:dyDescent="0.25">
      <c r="A31" s="7"/>
      <c r="B31" s="12" t="s">
        <v>224</v>
      </c>
      <c r="C31" s="3"/>
      <c r="D31" s="17">
        <f xml:space="preserve"> E31</f>
        <v>240</v>
      </c>
      <c r="E31" s="10">
        <f>AVERAGE(H31:I31)</f>
        <v>240</v>
      </c>
      <c r="F31" s="7" t="s">
        <v>40</v>
      </c>
      <c r="G31" t="s">
        <v>240</v>
      </c>
      <c r="H31" s="7">
        <v>120</v>
      </c>
      <c r="I31" s="7">
        <v>360</v>
      </c>
    </row>
    <row r="32" spans="1:9" s="3" customFormat="1" x14ac:dyDescent="0.25">
      <c r="B32" s="73" t="s">
        <v>241</v>
      </c>
      <c r="C32" s="13">
        <f>SUM(D33:D36)</f>
        <v>255</v>
      </c>
      <c r="D32" s="1"/>
      <c r="E32" s="11"/>
      <c r="F32" s="11"/>
      <c r="G32" s="2"/>
      <c r="H32" s="11"/>
      <c r="I32" s="11"/>
    </row>
    <row r="33" spans="1:9" s="1" customFormat="1" x14ac:dyDescent="0.25">
      <c r="A33" s="7"/>
      <c r="B33" t="s">
        <v>242</v>
      </c>
      <c r="C33" s="3"/>
      <c r="D33" s="17">
        <f xml:space="preserve"> E33</f>
        <v>60</v>
      </c>
      <c r="E33" s="10">
        <v>60</v>
      </c>
      <c r="F33" s="7" t="s">
        <v>40</v>
      </c>
      <c r="G33" t="s">
        <v>243</v>
      </c>
      <c r="H33" s="7">
        <v>15</v>
      </c>
      <c r="I33" s="7">
        <v>90</v>
      </c>
    </row>
    <row r="34" spans="1:9" s="1" customFormat="1" x14ac:dyDescent="0.25">
      <c r="A34" s="7"/>
      <c r="B34" s="12" t="s">
        <v>1</v>
      </c>
      <c r="C34" s="3"/>
      <c r="D34" s="17">
        <f xml:space="preserve"> E34</f>
        <v>60</v>
      </c>
      <c r="E34" s="10">
        <v>60</v>
      </c>
      <c r="F34" s="7" t="s">
        <v>40</v>
      </c>
      <c r="G34" t="s">
        <v>244</v>
      </c>
      <c r="H34" s="7">
        <v>15</v>
      </c>
      <c r="I34" s="7">
        <v>120</v>
      </c>
    </row>
    <row r="35" spans="1:9" s="1" customFormat="1" x14ac:dyDescent="0.25">
      <c r="A35" s="7"/>
      <c r="B35" s="12" t="s">
        <v>42</v>
      </c>
      <c r="C35" s="3"/>
      <c r="D35" s="17">
        <f xml:space="preserve"> E35</f>
        <v>75</v>
      </c>
      <c r="E35" s="10">
        <f>15*5</f>
        <v>75</v>
      </c>
      <c r="F35" s="7" t="s">
        <v>40</v>
      </c>
      <c r="G35" t="s">
        <v>245</v>
      </c>
      <c r="H35" s="7">
        <v>30</v>
      </c>
      <c r="I35" s="7">
        <v>90</v>
      </c>
    </row>
    <row r="36" spans="1:9" s="1" customFormat="1" x14ac:dyDescent="0.25">
      <c r="A36" s="7"/>
      <c r="B36" t="s">
        <v>246</v>
      </c>
      <c r="C36" s="3"/>
      <c r="D36" s="17">
        <f xml:space="preserve"> E36</f>
        <v>60</v>
      </c>
      <c r="E36" s="10">
        <v>60</v>
      </c>
      <c r="F36" s="7" t="s">
        <v>40</v>
      </c>
      <c r="G36" t="s">
        <v>247</v>
      </c>
      <c r="H36" s="7">
        <v>30</v>
      </c>
      <c r="I36" s="7">
        <v>120</v>
      </c>
    </row>
    <row r="37" spans="1:9" s="1" customFormat="1" x14ac:dyDescent="0.25">
      <c r="A37" s="7"/>
      <c r="B37" s="73" t="s">
        <v>248</v>
      </c>
      <c r="C37" s="13"/>
      <c r="D37" s="17"/>
      <c r="E37" s="14"/>
      <c r="F37" s="7"/>
      <c r="G37" s="5"/>
      <c r="H37" s="7"/>
      <c r="I37" s="7"/>
    </row>
    <row r="38" spans="1:9" s="3" customFormat="1" x14ac:dyDescent="0.25">
      <c r="B38" t="s">
        <v>249</v>
      </c>
      <c r="C38" s="13">
        <f>SUM(D38)</f>
        <v>300</v>
      </c>
      <c r="D38" s="17">
        <f xml:space="preserve"> E38</f>
        <v>300</v>
      </c>
      <c r="E38" s="10">
        <f>AVERAGE(H38:I38)</f>
        <v>300</v>
      </c>
      <c r="F38" s="7" t="s">
        <v>40</v>
      </c>
      <c r="G38" t="s">
        <v>250</v>
      </c>
      <c r="H38" s="7">
        <f>2*60</f>
        <v>120</v>
      </c>
      <c r="I38" s="7">
        <f>8*60</f>
        <v>480</v>
      </c>
    </row>
    <row r="39" spans="1:9" s="1" customFormat="1" ht="19.149999999999999" customHeight="1" x14ac:dyDescent="0.25">
      <c r="A39" s="7"/>
      <c r="B39" t="s">
        <v>251</v>
      </c>
      <c r="C39" s="13">
        <f>SUM(D39)</f>
        <v>570</v>
      </c>
      <c r="D39" s="17">
        <f xml:space="preserve"> E39</f>
        <v>570</v>
      </c>
      <c r="E39" s="10">
        <f>AVERAGE(H39:I39)</f>
        <v>570</v>
      </c>
      <c r="F39" s="7" t="s">
        <v>40</v>
      </c>
      <c r="G39" t="s">
        <v>252</v>
      </c>
      <c r="H39" s="7">
        <v>180</v>
      </c>
      <c r="I39" s="7">
        <f>60*16</f>
        <v>960</v>
      </c>
    </row>
    <row r="40" spans="1:9" s="3" customFormat="1" x14ac:dyDescent="0.25">
      <c r="B40" s="3" t="s">
        <v>49</v>
      </c>
      <c r="C40" s="13">
        <f>SUM(D41:D43)</f>
        <v>1200</v>
      </c>
      <c r="D40" s="1"/>
      <c r="E40" s="11"/>
      <c r="F40" s="11"/>
      <c r="G40" s="2"/>
      <c r="H40" s="11"/>
      <c r="I40" s="11"/>
    </row>
    <row r="41" spans="1:9" s="1" customFormat="1" x14ac:dyDescent="0.25">
      <c r="A41" s="7"/>
      <c r="B41" t="s">
        <v>253</v>
      </c>
      <c r="C41" s="3"/>
      <c r="D41" s="17">
        <f xml:space="preserve"> E41</f>
        <v>360</v>
      </c>
      <c r="E41" s="10">
        <v>360</v>
      </c>
      <c r="F41" s="7" t="s">
        <v>40</v>
      </c>
      <c r="G41" t="s">
        <v>254</v>
      </c>
      <c r="H41" s="7">
        <v>240</v>
      </c>
      <c r="I41" s="7">
        <v>480</v>
      </c>
    </row>
    <row r="42" spans="1:9" s="1" customFormat="1" x14ac:dyDescent="0.25">
      <c r="A42" s="7"/>
      <c r="B42" t="s">
        <v>255</v>
      </c>
      <c r="C42" s="3"/>
      <c r="D42" s="17">
        <f xml:space="preserve"> E42</f>
        <v>240</v>
      </c>
      <c r="E42" s="10">
        <v>240</v>
      </c>
      <c r="F42" s="7" t="s">
        <v>40</v>
      </c>
      <c r="G42" t="s">
        <v>256</v>
      </c>
      <c r="H42" s="7">
        <v>90</v>
      </c>
      <c r="I42" s="7">
        <v>360</v>
      </c>
    </row>
    <row r="43" spans="1:9" s="1" customFormat="1" x14ac:dyDescent="0.25">
      <c r="A43" s="7"/>
      <c r="B43" t="s">
        <v>257</v>
      </c>
      <c r="C43" s="3"/>
      <c r="D43" s="17">
        <f xml:space="preserve"> E43</f>
        <v>600</v>
      </c>
      <c r="E43" s="10">
        <v>600</v>
      </c>
      <c r="F43" s="7" t="s">
        <v>40</v>
      </c>
      <c r="G43" t="s">
        <v>258</v>
      </c>
      <c r="H43" s="7">
        <v>120</v>
      </c>
      <c r="I43" s="7">
        <f>20*60</f>
        <v>1200</v>
      </c>
    </row>
    <row r="44" spans="1:9" s="1" customFormat="1" x14ac:dyDescent="0.25">
      <c r="A44" s="7"/>
      <c r="B44" s="3" t="s">
        <v>58</v>
      </c>
      <c r="C44" s="13">
        <f>SUM(D45:D46)</f>
        <v>960</v>
      </c>
      <c r="D44" s="17"/>
      <c r="E44" s="14"/>
      <c r="F44" s="7"/>
      <c r="G44" s="5"/>
      <c r="H44" s="7"/>
      <c r="I44" s="7"/>
    </row>
    <row r="45" spans="1:9" s="1" customFormat="1" x14ac:dyDescent="0.25">
      <c r="A45" s="7"/>
      <c r="B45" t="s">
        <v>259</v>
      </c>
      <c r="C45" s="3"/>
      <c r="D45" s="17">
        <f xml:space="preserve"> E45</f>
        <v>480</v>
      </c>
      <c r="E45" s="10">
        <v>480</v>
      </c>
      <c r="F45" s="7" t="s">
        <v>40</v>
      </c>
      <c r="G45" t="s">
        <v>260</v>
      </c>
      <c r="H45" s="7">
        <v>240</v>
      </c>
      <c r="I45" s="7">
        <v>1000</v>
      </c>
    </row>
    <row r="46" spans="1:9" s="1" customFormat="1" x14ac:dyDescent="0.25">
      <c r="A46" s="7"/>
      <c r="B46" t="s">
        <v>261</v>
      </c>
      <c r="C46" s="3"/>
      <c r="D46" s="17">
        <f xml:space="preserve"> E46</f>
        <v>480</v>
      </c>
      <c r="E46" s="10">
        <v>480</v>
      </c>
      <c r="F46" s="7" t="s">
        <v>40</v>
      </c>
      <c r="G46" t="s">
        <v>262</v>
      </c>
      <c r="H46" s="7">
        <v>120</v>
      </c>
      <c r="I46" s="7">
        <v>1200</v>
      </c>
    </row>
    <row r="47" spans="1:9" s="1" customFormat="1" x14ac:dyDescent="0.25">
      <c r="A47" s="7"/>
      <c r="B47" s="73" t="s">
        <v>263</v>
      </c>
      <c r="C47" s="13">
        <f>SUM(D48:D48)</f>
        <v>2</v>
      </c>
      <c r="D47" s="8"/>
      <c r="E47" s="7"/>
      <c r="F47" s="7"/>
      <c r="H47" s="7"/>
      <c r="I47" s="7"/>
    </row>
    <row r="48" spans="1:9" s="1" customFormat="1" x14ac:dyDescent="0.25">
      <c r="A48" s="7"/>
      <c r="B48" t="s">
        <v>264</v>
      </c>
      <c r="C48" s="3"/>
      <c r="D48" s="8">
        <f>E48</f>
        <v>2</v>
      </c>
      <c r="E48" s="10">
        <v>2</v>
      </c>
      <c r="F48" s="7" t="s">
        <v>40</v>
      </c>
      <c r="G48" t="s">
        <v>265</v>
      </c>
      <c r="H48" s="7">
        <v>0.5</v>
      </c>
      <c r="I48" s="7">
        <v>5</v>
      </c>
    </row>
    <row r="49" spans="1:9" s="1" customFormat="1" x14ac:dyDescent="0.25">
      <c r="A49" s="7"/>
      <c r="B49" s="73" t="s">
        <v>266</v>
      </c>
      <c r="C49" s="13">
        <f>SUM(D50)</f>
        <v>240</v>
      </c>
      <c r="D49" s="8"/>
      <c r="E49" s="14"/>
      <c r="F49" s="7"/>
      <c r="H49" s="7"/>
      <c r="I49" s="7"/>
    </row>
    <row r="50" spans="1:9" s="1" customFormat="1" x14ac:dyDescent="0.25">
      <c r="A50" s="7"/>
      <c r="B50" s="12" t="s">
        <v>43</v>
      </c>
      <c r="C50" s="3"/>
      <c r="D50" s="8">
        <f xml:space="preserve"> E50</f>
        <v>240</v>
      </c>
      <c r="E50" s="10">
        <v>240</v>
      </c>
      <c r="F50" s="7" t="s">
        <v>40</v>
      </c>
      <c r="G50" t="s">
        <v>267</v>
      </c>
      <c r="H50" s="7">
        <v>30</v>
      </c>
      <c r="I50" s="7">
        <v>480</v>
      </c>
    </row>
    <row r="51" spans="1:9" s="1" customFormat="1" x14ac:dyDescent="0.25">
      <c r="A51" s="3"/>
      <c r="B51" s="73" t="s">
        <v>268</v>
      </c>
      <c r="C51" s="13">
        <f>SUM(D52:D53)</f>
        <v>1</v>
      </c>
      <c r="D51" s="8"/>
      <c r="E51" s="7"/>
      <c r="F51" s="7"/>
      <c r="H51" s="7"/>
      <c r="I51" s="7"/>
    </row>
    <row r="52" spans="1:9" s="1" customFormat="1" x14ac:dyDescent="0.25">
      <c r="A52" s="7"/>
      <c r="B52" t="s">
        <v>269</v>
      </c>
      <c r="C52" s="3"/>
      <c r="D52" s="9">
        <f xml:space="preserve"> E52</f>
        <v>0.5</v>
      </c>
      <c r="E52" s="29">
        <v>0.5</v>
      </c>
      <c r="F52" s="7" t="s">
        <v>40</v>
      </c>
      <c r="G52" t="s">
        <v>270</v>
      </c>
      <c r="H52" s="7">
        <v>0.25</v>
      </c>
      <c r="I52" s="7">
        <v>3</v>
      </c>
    </row>
    <row r="53" spans="1:9" s="1" customFormat="1" x14ac:dyDescent="0.25">
      <c r="A53" s="7"/>
      <c r="B53" t="s">
        <v>271</v>
      </c>
      <c r="C53" s="3"/>
      <c r="D53" s="9">
        <f xml:space="preserve"> E53</f>
        <v>0.5</v>
      </c>
      <c r="E53" s="29">
        <v>0.5</v>
      </c>
      <c r="F53" s="7" t="s">
        <v>40</v>
      </c>
      <c r="G53" t="s">
        <v>272</v>
      </c>
      <c r="H53" s="7">
        <v>0.5</v>
      </c>
      <c r="I53" s="7">
        <v>3</v>
      </c>
    </row>
    <row r="54" spans="1:9" x14ac:dyDescent="0.25">
      <c r="C54" s="2"/>
    </row>
    <row r="55" spans="1:9" ht="15" customHeight="1" x14ac:dyDescent="0.25">
      <c r="A55" s="3" t="s">
        <v>2</v>
      </c>
      <c r="C55" s="2"/>
    </row>
    <row r="56" spans="1:9" ht="15" customHeight="1" x14ac:dyDescent="0.25">
      <c r="A56" s="3"/>
      <c r="B56" s="2" t="s">
        <v>50</v>
      </c>
      <c r="C56" s="72">
        <f>SUM(D57:D65)</f>
        <v>654</v>
      </c>
    </row>
    <row r="57" spans="1:9" ht="15" customHeight="1" x14ac:dyDescent="0.25">
      <c r="A57" s="3"/>
      <c r="B57" s="22" t="s">
        <v>73</v>
      </c>
      <c r="C57" s="3"/>
      <c r="D57" s="8">
        <f>E57*F57</f>
        <v>50</v>
      </c>
      <c r="E57" s="10">
        <v>1</v>
      </c>
      <c r="F57" s="42">
        <f>H$16</f>
        <v>50</v>
      </c>
      <c r="G57" s="1" t="s">
        <v>120</v>
      </c>
      <c r="H57" s="46">
        <v>0</v>
      </c>
      <c r="I57" s="46">
        <v>5</v>
      </c>
    </row>
    <row r="58" spans="1:9" s="1" customFormat="1" ht="15" customHeight="1" x14ac:dyDescent="0.25">
      <c r="A58" s="7"/>
      <c r="B58" s="12" t="s">
        <v>3</v>
      </c>
      <c r="C58" s="3"/>
      <c r="D58" s="8">
        <f>E58*F58</f>
        <v>100</v>
      </c>
      <c r="E58" s="10">
        <v>2</v>
      </c>
      <c r="F58" s="42">
        <f>H$16</f>
        <v>50</v>
      </c>
      <c r="H58" s="7">
        <v>1</v>
      </c>
      <c r="I58" s="7">
        <v>5</v>
      </c>
    </row>
    <row r="59" spans="1:9" s="1" customFormat="1" ht="15" customHeight="1" x14ac:dyDescent="0.25">
      <c r="A59" s="7"/>
      <c r="B59" s="12" t="s">
        <v>4</v>
      </c>
      <c r="C59" s="3"/>
      <c r="D59" s="8">
        <f>E59*F59</f>
        <v>50</v>
      </c>
      <c r="E59" s="10">
        <v>1</v>
      </c>
      <c r="F59" s="42">
        <f>H$16</f>
        <v>50</v>
      </c>
      <c r="H59" s="7">
        <v>1</v>
      </c>
      <c r="I59" s="7">
        <v>3</v>
      </c>
    </row>
    <row r="60" spans="1:9" s="1" customFormat="1" ht="15" customHeight="1" x14ac:dyDescent="0.25">
      <c r="A60" s="7"/>
      <c r="B60" s="12" t="s">
        <v>5</v>
      </c>
      <c r="C60" s="3"/>
      <c r="D60" s="8">
        <f>E60*F60</f>
        <v>100</v>
      </c>
      <c r="E60" s="10">
        <v>2</v>
      </c>
      <c r="F60" s="42">
        <f>H$16</f>
        <v>50</v>
      </c>
      <c r="H60" s="7">
        <v>1</v>
      </c>
      <c r="I60" s="7">
        <v>3</v>
      </c>
    </row>
    <row r="61" spans="1:9" s="1" customFormat="1" ht="15" customHeight="1" x14ac:dyDescent="0.25">
      <c r="A61" s="7"/>
      <c r="B61" s="12" t="s">
        <v>61</v>
      </c>
      <c r="C61" s="3"/>
      <c r="D61" s="8">
        <f>E61*F61</f>
        <v>150</v>
      </c>
      <c r="E61" s="10">
        <v>3</v>
      </c>
      <c r="F61" s="42">
        <f>H$16</f>
        <v>50</v>
      </c>
      <c r="H61" s="7">
        <v>1</v>
      </c>
      <c r="I61" s="7">
        <v>5</v>
      </c>
    </row>
    <row r="62" spans="1:9" s="1" customFormat="1" ht="15" customHeight="1" x14ac:dyDescent="0.25">
      <c r="A62" s="7"/>
      <c r="B62" s="12" t="s">
        <v>158</v>
      </c>
      <c r="C62" s="3"/>
      <c r="D62" s="8">
        <f t="shared" ref="D62:D64" si="0">E62*F62</f>
        <v>102</v>
      </c>
      <c r="E62" s="10">
        <v>6</v>
      </c>
      <c r="F62" s="94">
        <f>ROUND( H$15 * Summary!A$9, 0  )</f>
        <v>17</v>
      </c>
      <c r="H62" s="7">
        <v>3</v>
      </c>
      <c r="I62" s="7">
        <v>9</v>
      </c>
    </row>
    <row r="63" spans="1:9" s="1" customFormat="1" ht="15" customHeight="1" x14ac:dyDescent="0.25">
      <c r="A63" s="7"/>
      <c r="B63" s="12" t="s">
        <v>159</v>
      </c>
      <c r="C63" s="3"/>
      <c r="D63" s="8">
        <f t="shared" si="0"/>
        <v>51</v>
      </c>
      <c r="E63" s="10">
        <v>3</v>
      </c>
      <c r="F63" s="94">
        <f>ROUND( H$15 * Summary!A$9, 0  )</f>
        <v>17</v>
      </c>
      <c r="H63" s="7">
        <v>1</v>
      </c>
      <c r="I63" s="7">
        <v>5</v>
      </c>
    </row>
    <row r="64" spans="1:9" s="1" customFormat="1" ht="15" customHeight="1" x14ac:dyDescent="0.25">
      <c r="A64" s="7"/>
      <c r="B64" s="12" t="s">
        <v>160</v>
      </c>
      <c r="C64" s="3"/>
      <c r="D64" s="8">
        <f t="shared" si="0"/>
        <v>51</v>
      </c>
      <c r="E64" s="10">
        <v>3</v>
      </c>
      <c r="F64" s="94">
        <f>ROUND( H$15 * Summary!A$9, 0  )</f>
        <v>17</v>
      </c>
      <c r="H64" s="7">
        <v>1</v>
      </c>
      <c r="I64" s="7">
        <v>5</v>
      </c>
    </row>
    <row r="65" spans="1:9" s="1" customFormat="1" x14ac:dyDescent="0.25">
      <c r="A65" s="7"/>
      <c r="B65" s="20" t="s">
        <v>146</v>
      </c>
      <c r="C65" s="13">
        <f>SUM(D66:D71)</f>
        <v>656</v>
      </c>
      <c r="D65" s="8"/>
      <c r="E65" s="14"/>
      <c r="F65" s="14"/>
      <c r="H65" s="7"/>
      <c r="I65" s="7"/>
    </row>
    <row r="66" spans="1:9" s="1" customFormat="1" x14ac:dyDescent="0.25">
      <c r="A66" s="7"/>
      <c r="B66" s="12" t="s">
        <v>72</v>
      </c>
      <c r="C66" s="13"/>
      <c r="D66" s="8">
        <f>E66</f>
        <v>120</v>
      </c>
      <c r="E66" s="10">
        <v>120</v>
      </c>
      <c r="F66" s="7" t="s">
        <v>40</v>
      </c>
      <c r="G66" s="1" t="s">
        <v>126</v>
      </c>
      <c r="H66" s="7">
        <v>60</v>
      </c>
      <c r="I66" s="7">
        <v>180</v>
      </c>
    </row>
    <row r="67" spans="1:9" s="1" customFormat="1" x14ac:dyDescent="0.25">
      <c r="A67" s="7"/>
      <c r="B67" s="12" t="s">
        <v>162</v>
      </c>
      <c r="C67" s="3"/>
      <c r="D67" s="8">
        <f>E67*F67</f>
        <v>60</v>
      </c>
      <c r="E67" s="10">
        <v>3</v>
      </c>
      <c r="F67" s="42">
        <f>H6</f>
        <v>20</v>
      </c>
      <c r="G67" s="1" t="s">
        <v>165</v>
      </c>
      <c r="H67" s="7">
        <v>1</v>
      </c>
      <c r="I67" s="7">
        <v>6</v>
      </c>
    </row>
    <row r="68" spans="1:9" s="1" customFormat="1" x14ac:dyDescent="0.25">
      <c r="A68" s="7"/>
      <c r="B68" s="12" t="s">
        <v>163</v>
      </c>
      <c r="C68" s="3"/>
      <c r="D68" s="8">
        <f>E68*F68</f>
        <v>60</v>
      </c>
      <c r="E68" s="10">
        <v>3</v>
      </c>
      <c r="F68" s="42">
        <f>H6</f>
        <v>20</v>
      </c>
      <c r="H68" s="7">
        <v>1</v>
      </c>
      <c r="I68" s="7">
        <v>6</v>
      </c>
    </row>
    <row r="69" spans="1:9" s="1" customFormat="1" x14ac:dyDescent="0.25">
      <c r="A69" s="7"/>
      <c r="B69" s="12" t="s">
        <v>164</v>
      </c>
      <c r="C69" s="3"/>
      <c r="D69" s="8">
        <f>E69*F69</f>
        <v>80</v>
      </c>
      <c r="E69" s="10">
        <v>4</v>
      </c>
      <c r="F69" s="42">
        <f>H6</f>
        <v>20</v>
      </c>
      <c r="H69" s="7">
        <v>1</v>
      </c>
      <c r="I69" s="7">
        <v>10</v>
      </c>
    </row>
    <row r="70" spans="1:9" s="1" customFormat="1" x14ac:dyDescent="0.25">
      <c r="A70" s="7"/>
      <c r="B70" s="12" t="s">
        <v>112</v>
      </c>
      <c r="C70" s="3"/>
      <c r="D70" s="8">
        <f>E70*F70</f>
        <v>112</v>
      </c>
      <c r="E70" s="10">
        <v>2</v>
      </c>
      <c r="F70" s="90">
        <f>H22+H23</f>
        <v>56</v>
      </c>
      <c r="G70" s="1" t="s">
        <v>166</v>
      </c>
      <c r="H70" s="7">
        <v>1</v>
      </c>
      <c r="I70" s="7">
        <v>6</v>
      </c>
    </row>
    <row r="71" spans="1:9" s="1" customFormat="1" x14ac:dyDescent="0.25">
      <c r="A71" s="7"/>
      <c r="B71" s="12" t="s">
        <v>111</v>
      </c>
      <c r="C71" s="3"/>
      <c r="D71" s="8">
        <f>E71*F71</f>
        <v>224</v>
      </c>
      <c r="E71" s="10">
        <v>4</v>
      </c>
      <c r="F71" s="90">
        <f>H22+H23</f>
        <v>56</v>
      </c>
      <c r="H71" s="7">
        <v>1</v>
      </c>
      <c r="I71" s="7">
        <v>10</v>
      </c>
    </row>
    <row r="72" spans="1:9" s="1" customFormat="1" x14ac:dyDescent="0.25">
      <c r="A72" s="7"/>
      <c r="B72" s="2" t="s">
        <v>213</v>
      </c>
      <c r="C72" s="72">
        <f>SUM(D73:D78)</f>
        <v>216</v>
      </c>
      <c r="D72" s="8"/>
      <c r="E72" s="14"/>
      <c r="F72" s="14"/>
      <c r="H72" s="7"/>
      <c r="I72" s="7"/>
    </row>
    <row r="73" spans="1:9" s="1" customFormat="1" x14ac:dyDescent="0.25">
      <c r="A73" s="7"/>
      <c r="B73" s="22" t="s">
        <v>71</v>
      </c>
      <c r="C73" s="72"/>
      <c r="D73" s="8">
        <f>E73</f>
        <v>60</v>
      </c>
      <c r="E73" s="10">
        <v>60</v>
      </c>
      <c r="F73" s="7" t="s">
        <v>40</v>
      </c>
      <c r="G73" s="1" t="s">
        <v>125</v>
      </c>
      <c r="H73" s="7">
        <v>30</v>
      </c>
      <c r="I73" s="7">
        <v>120</v>
      </c>
    </row>
    <row r="74" spans="1:9" s="1" customFormat="1" x14ac:dyDescent="0.25">
      <c r="A74" s="7"/>
      <c r="B74" s="12" t="s">
        <v>35</v>
      </c>
      <c r="C74" s="3"/>
      <c r="D74" s="8">
        <f t="shared" ref="D74:D76" si="1">E74</f>
        <v>20</v>
      </c>
      <c r="E74" s="10">
        <v>20</v>
      </c>
      <c r="F74" s="7" t="s">
        <v>40</v>
      </c>
      <c r="H74" s="7">
        <v>10</v>
      </c>
      <c r="I74" s="7">
        <v>45</v>
      </c>
    </row>
    <row r="75" spans="1:9" s="1" customFormat="1" x14ac:dyDescent="0.25">
      <c r="A75" s="7"/>
      <c r="B75" s="12" t="s">
        <v>36</v>
      </c>
      <c r="C75" s="3"/>
      <c r="D75" s="8">
        <f t="shared" si="1"/>
        <v>10</v>
      </c>
      <c r="E75" s="10">
        <v>10</v>
      </c>
      <c r="F75" s="7" t="s">
        <v>40</v>
      </c>
      <c r="H75" s="7">
        <v>5</v>
      </c>
      <c r="I75" s="7">
        <v>30</v>
      </c>
    </row>
    <row r="76" spans="1:9" s="1" customFormat="1" x14ac:dyDescent="0.25">
      <c r="A76" s="7"/>
      <c r="B76" s="12" t="s">
        <v>37</v>
      </c>
      <c r="C76" s="3"/>
      <c r="D76" s="8">
        <f t="shared" si="1"/>
        <v>30</v>
      </c>
      <c r="E76" s="10">
        <v>30</v>
      </c>
      <c r="F76" s="7" t="s">
        <v>40</v>
      </c>
      <c r="H76" s="7">
        <v>10</v>
      </c>
      <c r="I76" s="7">
        <v>60</v>
      </c>
    </row>
    <row r="77" spans="1:9" s="1" customFormat="1" x14ac:dyDescent="0.25">
      <c r="A77" s="7"/>
      <c r="B77" s="12" t="s">
        <v>112</v>
      </c>
      <c r="C77" s="3"/>
      <c r="D77" s="8">
        <f>E77*F77</f>
        <v>32</v>
      </c>
      <c r="E77" s="10">
        <v>2</v>
      </c>
      <c r="F77" s="90">
        <f>H24+H24*H21</f>
        <v>16</v>
      </c>
      <c r="G77" s="1" t="s">
        <v>117</v>
      </c>
      <c r="H77" s="7">
        <v>1</v>
      </c>
      <c r="I77" s="7">
        <v>6</v>
      </c>
    </row>
    <row r="78" spans="1:9" s="1" customFormat="1" x14ac:dyDescent="0.25">
      <c r="A78" s="7"/>
      <c r="B78" s="12" t="s">
        <v>111</v>
      </c>
      <c r="C78" s="3"/>
      <c r="D78" s="8">
        <f>E78*F78</f>
        <v>64</v>
      </c>
      <c r="E78" s="10">
        <v>4</v>
      </c>
      <c r="F78" s="90">
        <f>F77</f>
        <v>16</v>
      </c>
      <c r="H78" s="7">
        <v>1</v>
      </c>
      <c r="I78" s="7">
        <v>10</v>
      </c>
    </row>
    <row r="79" spans="1:9" s="1" customFormat="1" x14ac:dyDescent="0.25">
      <c r="A79" s="7"/>
      <c r="B79" s="20" t="s">
        <v>51</v>
      </c>
      <c r="C79" s="72">
        <f>SUM(D80:D84)</f>
        <v>230</v>
      </c>
      <c r="D79" s="8"/>
      <c r="E79" s="14"/>
      <c r="F79" s="14"/>
      <c r="H79" s="7"/>
      <c r="I79" s="7"/>
    </row>
    <row r="80" spans="1:9" s="1" customFormat="1" x14ac:dyDescent="0.25">
      <c r="A80" s="7"/>
      <c r="B80" s="12" t="s">
        <v>6</v>
      </c>
      <c r="C80" s="3"/>
      <c r="D80" s="8">
        <f>E80*F80</f>
        <v>10</v>
      </c>
      <c r="E80" s="10">
        <v>1</v>
      </c>
      <c r="F80" s="42">
        <f>H$9</f>
        <v>10</v>
      </c>
      <c r="G80" s="1" t="s">
        <v>119</v>
      </c>
      <c r="H80" s="7">
        <v>1</v>
      </c>
      <c r="I80" s="7">
        <v>10</v>
      </c>
    </row>
    <row r="81" spans="1:9" s="1" customFormat="1" x14ac:dyDescent="0.25">
      <c r="A81" s="7"/>
      <c r="B81" s="12" t="s">
        <v>7</v>
      </c>
      <c r="C81" s="3"/>
      <c r="D81" s="8">
        <f>E81*F81</f>
        <v>10</v>
      </c>
      <c r="E81" s="10">
        <v>1</v>
      </c>
      <c r="F81" s="42">
        <f>H$9</f>
        <v>10</v>
      </c>
      <c r="H81" s="7">
        <v>1</v>
      </c>
      <c r="I81" s="7">
        <v>5</v>
      </c>
    </row>
    <row r="82" spans="1:9" s="1" customFormat="1" x14ac:dyDescent="0.25">
      <c r="A82" s="7"/>
      <c r="B82" s="12" t="s">
        <v>8</v>
      </c>
      <c r="C82" s="3"/>
      <c r="D82" s="8">
        <f>E82*F82</f>
        <v>30</v>
      </c>
      <c r="E82" s="10">
        <v>3</v>
      </c>
      <c r="F82" s="42">
        <f>H$9</f>
        <v>10</v>
      </c>
      <c r="H82" s="7">
        <v>1</v>
      </c>
      <c r="I82" s="7">
        <v>10</v>
      </c>
    </row>
    <row r="83" spans="1:9" s="1" customFormat="1" x14ac:dyDescent="0.25">
      <c r="A83" s="7"/>
      <c r="B83" s="12" t="s">
        <v>112</v>
      </c>
      <c r="C83" s="3"/>
      <c r="D83" s="8">
        <f>E83*F83</f>
        <v>60</v>
      </c>
      <c r="E83" s="10">
        <v>2</v>
      </c>
      <c r="F83" s="90">
        <f>H$9*H$21</f>
        <v>30</v>
      </c>
      <c r="G83" s="1" t="s">
        <v>118</v>
      </c>
      <c r="H83" s="7">
        <v>1</v>
      </c>
      <c r="I83" s="7">
        <v>6</v>
      </c>
    </row>
    <row r="84" spans="1:9" s="1" customFormat="1" x14ac:dyDescent="0.25">
      <c r="A84" s="7"/>
      <c r="B84" s="12" t="s">
        <v>111</v>
      </c>
      <c r="C84" s="3"/>
      <c r="D84" s="8">
        <f>E84*F84</f>
        <v>120</v>
      </c>
      <c r="E84" s="10">
        <v>4</v>
      </c>
      <c r="F84" s="90">
        <f>H$9*H$21</f>
        <v>30</v>
      </c>
      <c r="H84" s="7">
        <v>1</v>
      </c>
      <c r="I84" s="7">
        <v>10</v>
      </c>
    </row>
    <row r="85" spans="1:9" s="1" customFormat="1" x14ac:dyDescent="0.25">
      <c r="C85" s="3"/>
      <c r="D85" s="8"/>
      <c r="E85" s="7"/>
      <c r="F85" s="7"/>
      <c r="H85" s="7"/>
      <c r="I85" s="7"/>
    </row>
    <row r="86" spans="1:9" s="1" customFormat="1" x14ac:dyDescent="0.25">
      <c r="A86" s="3" t="s">
        <v>12</v>
      </c>
      <c r="C86" s="3"/>
      <c r="D86" s="8"/>
      <c r="E86" s="7"/>
      <c r="F86" s="7"/>
      <c r="H86" s="7"/>
      <c r="I86" s="7"/>
    </row>
    <row r="87" spans="1:9" s="1" customFormat="1" x14ac:dyDescent="0.25">
      <c r="A87" s="3"/>
      <c r="B87" s="3" t="s">
        <v>218</v>
      </c>
      <c r="C87" s="13">
        <f>SUM(D88:D91)</f>
        <v>750</v>
      </c>
      <c r="D87" s="8"/>
      <c r="E87" s="7"/>
      <c r="F87" s="7"/>
      <c r="H87" s="7"/>
      <c r="I87" s="7"/>
    </row>
    <row r="88" spans="1:9" s="1" customFormat="1" x14ac:dyDescent="0.25">
      <c r="A88" s="3"/>
      <c r="B88" s="12" t="s">
        <v>74</v>
      </c>
      <c r="C88" s="13"/>
      <c r="D88" s="8">
        <f>E88*F88</f>
        <v>150</v>
      </c>
      <c r="E88" s="10">
        <v>3</v>
      </c>
      <c r="F88" s="42">
        <f>H$17</f>
        <v>50</v>
      </c>
      <c r="H88" s="7">
        <v>0</v>
      </c>
      <c r="I88" s="7">
        <v>6</v>
      </c>
    </row>
    <row r="89" spans="1:9" s="1" customFormat="1" x14ac:dyDescent="0.25">
      <c r="A89" s="7"/>
      <c r="B89" s="12" t="s">
        <v>75</v>
      </c>
      <c r="C89" s="3"/>
      <c r="D89" s="8">
        <f>E89*F89</f>
        <v>150</v>
      </c>
      <c r="E89" s="10">
        <v>3</v>
      </c>
      <c r="F89" s="42">
        <f>H$17</f>
        <v>50</v>
      </c>
      <c r="G89" s="1" t="s">
        <v>124</v>
      </c>
      <c r="H89" s="7">
        <v>1</v>
      </c>
      <c r="I89" s="7">
        <v>10</v>
      </c>
    </row>
    <row r="90" spans="1:9" s="1" customFormat="1" x14ac:dyDescent="0.25">
      <c r="A90" s="7"/>
      <c r="B90" s="12" t="s">
        <v>76</v>
      </c>
      <c r="C90" s="3"/>
      <c r="D90" s="8">
        <f>E90*F90</f>
        <v>150</v>
      </c>
      <c r="E90" s="10">
        <v>3</v>
      </c>
      <c r="F90" s="42">
        <f>H$17</f>
        <v>50</v>
      </c>
      <c r="H90" s="7">
        <v>1</v>
      </c>
      <c r="I90" s="7">
        <v>6</v>
      </c>
    </row>
    <row r="91" spans="1:9" s="1" customFormat="1" x14ac:dyDescent="0.25">
      <c r="A91" s="7"/>
      <c r="B91" s="12" t="s">
        <v>77</v>
      </c>
      <c r="C91" s="3"/>
      <c r="D91" s="8">
        <f>E91*F91</f>
        <v>300</v>
      </c>
      <c r="E91" s="10">
        <v>6</v>
      </c>
      <c r="F91" s="42">
        <f>H$17</f>
        <v>50</v>
      </c>
      <c r="H91" s="7">
        <v>1</v>
      </c>
      <c r="I91" s="7">
        <v>10</v>
      </c>
    </row>
    <row r="92" spans="1:9" s="1" customFormat="1" x14ac:dyDescent="0.25">
      <c r="A92" s="7"/>
      <c r="B92" s="20" t="s">
        <v>78</v>
      </c>
      <c r="C92" s="3"/>
      <c r="D92" s="8">
        <f xml:space="preserve"> E92</f>
        <v>300</v>
      </c>
      <c r="E92" s="10">
        <f>5*60</f>
        <v>300</v>
      </c>
      <c r="F92" s="7" t="s">
        <v>40</v>
      </c>
      <c r="G92" s="1" t="s">
        <v>137</v>
      </c>
      <c r="H92" s="7">
        <v>40</v>
      </c>
      <c r="I92" s="7">
        <v>400</v>
      </c>
    </row>
    <row r="93" spans="1:9" s="1" customFormat="1" x14ac:dyDescent="0.25">
      <c r="A93" s="7"/>
      <c r="B93" s="20" t="s">
        <v>79</v>
      </c>
      <c r="C93" s="3"/>
      <c r="D93" s="8">
        <f t="shared" ref="D93:D94" si="2" xml:space="preserve"> E93</f>
        <v>1000</v>
      </c>
      <c r="E93" s="10">
        <f>1000</f>
        <v>1000</v>
      </c>
      <c r="F93" s="7" t="s">
        <v>40</v>
      </c>
      <c r="H93" s="7">
        <v>400</v>
      </c>
      <c r="I93" s="7">
        <v>2000</v>
      </c>
    </row>
    <row r="94" spans="1:9" s="1" customFormat="1" x14ac:dyDescent="0.25">
      <c r="A94" s="7"/>
      <c r="B94" s="20" t="s">
        <v>80</v>
      </c>
      <c r="C94" s="3"/>
      <c r="D94" s="8">
        <f t="shared" si="2"/>
        <v>2400</v>
      </c>
      <c r="E94" s="10">
        <f>40*60</f>
        <v>2400</v>
      </c>
      <c r="F94" s="7" t="s">
        <v>40</v>
      </c>
      <c r="G94" s="1" t="s">
        <v>81</v>
      </c>
      <c r="H94" s="7">
        <v>2000</v>
      </c>
      <c r="I94" s="7">
        <v>4000</v>
      </c>
    </row>
    <row r="95" spans="1:9" s="1" customFormat="1" x14ac:dyDescent="0.25">
      <c r="A95" s="7"/>
      <c r="B95" s="3" t="s">
        <v>219</v>
      </c>
      <c r="C95" s="13">
        <f>SUM(D96:D101)</f>
        <v>300</v>
      </c>
      <c r="D95" s="8"/>
      <c r="E95" s="14"/>
      <c r="F95" s="14"/>
      <c r="H95" s="7"/>
      <c r="I95" s="7"/>
    </row>
    <row r="96" spans="1:9" s="1" customFormat="1" x14ac:dyDescent="0.25">
      <c r="A96" s="7"/>
      <c r="B96" s="12" t="s">
        <v>13</v>
      </c>
      <c r="C96" s="3"/>
      <c r="D96" s="8">
        <f t="shared" ref="D96:D101" si="3">E96*F96</f>
        <v>60</v>
      </c>
      <c r="E96" s="10">
        <v>4</v>
      </c>
      <c r="F96" s="42">
        <f t="shared" ref="F96:F101" si="4">H$18</f>
        <v>15</v>
      </c>
      <c r="G96" s="1" t="s">
        <v>123</v>
      </c>
      <c r="H96" s="7">
        <v>0</v>
      </c>
      <c r="I96" s="7">
        <v>10</v>
      </c>
    </row>
    <row r="97" spans="1:9" s="1" customFormat="1" x14ac:dyDescent="0.25">
      <c r="A97" s="7"/>
      <c r="B97" s="12" t="s">
        <v>14</v>
      </c>
      <c r="C97" s="3"/>
      <c r="D97" s="8">
        <f t="shared" si="3"/>
        <v>30</v>
      </c>
      <c r="E97" s="10">
        <v>2</v>
      </c>
      <c r="F97" s="42">
        <f t="shared" si="4"/>
        <v>15</v>
      </c>
      <c r="H97" s="7">
        <v>1</v>
      </c>
      <c r="I97" s="7">
        <v>10</v>
      </c>
    </row>
    <row r="98" spans="1:9" s="1" customFormat="1" x14ac:dyDescent="0.25">
      <c r="A98" s="7"/>
      <c r="B98" s="12" t="s">
        <v>15</v>
      </c>
      <c r="C98" s="3"/>
      <c r="D98" s="8">
        <f t="shared" si="3"/>
        <v>60</v>
      </c>
      <c r="E98" s="10">
        <v>4</v>
      </c>
      <c r="F98" s="42">
        <f t="shared" si="4"/>
        <v>15</v>
      </c>
      <c r="H98" s="7">
        <v>1</v>
      </c>
      <c r="I98" s="7">
        <v>20</v>
      </c>
    </row>
    <row r="99" spans="1:9" s="1" customFormat="1" x14ac:dyDescent="0.25">
      <c r="A99" s="7"/>
      <c r="B99" s="12" t="s">
        <v>9</v>
      </c>
      <c r="C99" s="3"/>
      <c r="D99" s="8">
        <f t="shared" si="3"/>
        <v>60</v>
      </c>
      <c r="E99" s="10">
        <v>4</v>
      </c>
      <c r="F99" s="42">
        <f t="shared" si="4"/>
        <v>15</v>
      </c>
      <c r="G99" s="1" t="s">
        <v>123</v>
      </c>
      <c r="H99" s="7">
        <v>2</v>
      </c>
      <c r="I99" s="7">
        <v>10</v>
      </c>
    </row>
    <row r="100" spans="1:9" s="1" customFormat="1" x14ac:dyDescent="0.25">
      <c r="A100" s="7"/>
      <c r="B100" s="12" t="s">
        <v>10</v>
      </c>
      <c r="C100" s="3"/>
      <c r="D100" s="8">
        <f t="shared" si="3"/>
        <v>30</v>
      </c>
      <c r="E100" s="10">
        <v>2</v>
      </c>
      <c r="F100" s="42">
        <f t="shared" si="4"/>
        <v>15</v>
      </c>
      <c r="H100" s="7">
        <v>1</v>
      </c>
      <c r="I100" s="7">
        <v>5</v>
      </c>
    </row>
    <row r="101" spans="1:9" s="1" customFormat="1" x14ac:dyDescent="0.25">
      <c r="A101" s="7"/>
      <c r="B101" s="12" t="s">
        <v>11</v>
      </c>
      <c r="C101" s="3"/>
      <c r="D101" s="8">
        <f t="shared" si="3"/>
        <v>60</v>
      </c>
      <c r="E101" s="10">
        <v>4</v>
      </c>
      <c r="F101" s="42">
        <f t="shared" si="4"/>
        <v>15</v>
      </c>
      <c r="H101" s="7">
        <v>2</v>
      </c>
      <c r="I101" s="7">
        <v>10</v>
      </c>
    </row>
    <row r="102" spans="1:9" s="1" customFormat="1" x14ac:dyDescent="0.25">
      <c r="A102" s="7"/>
      <c r="C102" s="3"/>
      <c r="D102" s="13"/>
    </row>
    <row r="103" spans="1:9" s="1" customFormat="1" x14ac:dyDescent="0.25">
      <c r="A103" s="3" t="s">
        <v>16</v>
      </c>
      <c r="C103" s="3"/>
      <c r="D103" s="13"/>
    </row>
    <row r="104" spans="1:9" s="1" customFormat="1" x14ac:dyDescent="0.25">
      <c r="A104" s="3"/>
      <c r="B104" s="3" t="s">
        <v>52</v>
      </c>
      <c r="C104" s="13">
        <f>SUM(D105:D108)</f>
        <v>210</v>
      </c>
      <c r="D104" s="13"/>
    </row>
    <row r="105" spans="1:9" s="1" customFormat="1" x14ac:dyDescent="0.25">
      <c r="A105" s="3"/>
      <c r="B105" s="12" t="s">
        <v>82</v>
      </c>
      <c r="C105" s="13"/>
      <c r="D105" s="8">
        <f xml:space="preserve"> E105</f>
        <v>60</v>
      </c>
      <c r="E105" s="10">
        <v>60</v>
      </c>
      <c r="F105" s="7" t="s">
        <v>40</v>
      </c>
      <c r="G105" s="1" t="s">
        <v>125</v>
      </c>
      <c r="H105" s="7">
        <v>30</v>
      </c>
      <c r="I105" s="7">
        <v>120</v>
      </c>
    </row>
    <row r="106" spans="1:9" s="1" customFormat="1" x14ac:dyDescent="0.25">
      <c r="A106" s="7"/>
      <c r="B106" s="12" t="s">
        <v>17</v>
      </c>
      <c r="C106" s="3"/>
      <c r="D106" s="8">
        <f>E106*F106</f>
        <v>60</v>
      </c>
      <c r="E106" s="10">
        <v>6</v>
      </c>
      <c r="F106" s="42">
        <f>H10</f>
        <v>10</v>
      </c>
      <c r="G106" s="1" t="s">
        <v>129</v>
      </c>
      <c r="H106" s="7">
        <v>3</v>
      </c>
      <c r="I106" s="7">
        <v>10</v>
      </c>
    </row>
    <row r="107" spans="1:9" s="1" customFormat="1" x14ac:dyDescent="0.25">
      <c r="A107" s="7"/>
      <c r="B107" s="12" t="s">
        <v>18</v>
      </c>
      <c r="C107" s="3"/>
      <c r="D107" s="8">
        <f>E107*F107</f>
        <v>30</v>
      </c>
      <c r="E107" s="10">
        <v>3</v>
      </c>
      <c r="F107" s="42">
        <f>H10</f>
        <v>10</v>
      </c>
      <c r="H107" s="7">
        <v>1</v>
      </c>
      <c r="I107" s="7">
        <v>6</v>
      </c>
    </row>
    <row r="108" spans="1:9" s="1" customFormat="1" x14ac:dyDescent="0.25">
      <c r="A108" s="7"/>
      <c r="B108" s="12" t="s">
        <v>19</v>
      </c>
      <c r="C108" s="3"/>
      <c r="D108" s="8">
        <f>E108*F108</f>
        <v>60</v>
      </c>
      <c r="E108" s="10">
        <v>6</v>
      </c>
      <c r="F108" s="42">
        <f>H10</f>
        <v>10</v>
      </c>
      <c r="H108" s="7">
        <v>3</v>
      </c>
      <c r="I108" s="7">
        <v>10</v>
      </c>
    </row>
    <row r="109" spans="1:9" s="1" customFormat="1" x14ac:dyDescent="0.25">
      <c r="A109" s="7"/>
      <c r="B109" s="20" t="s">
        <v>53</v>
      </c>
      <c r="C109" s="13">
        <f>SUM(D110:D114)</f>
        <v>495</v>
      </c>
      <c r="D109" s="8"/>
      <c r="E109" s="14"/>
      <c r="F109" s="14"/>
      <c r="H109" s="7"/>
      <c r="I109" s="7"/>
    </row>
    <row r="110" spans="1:9" s="1" customFormat="1" x14ac:dyDescent="0.25">
      <c r="A110" s="7"/>
      <c r="B110" s="12" t="s">
        <v>20</v>
      </c>
      <c r="C110" s="3"/>
      <c r="D110" s="8">
        <f>E110*F110</f>
        <v>90</v>
      </c>
      <c r="E110" s="10">
        <v>6</v>
      </c>
      <c r="F110" s="42">
        <f>H$11</f>
        <v>15</v>
      </c>
      <c r="G110" s="1" t="s">
        <v>128</v>
      </c>
      <c r="H110" s="7">
        <v>3</v>
      </c>
      <c r="I110" s="7">
        <v>10</v>
      </c>
    </row>
    <row r="111" spans="1:9" s="1" customFormat="1" x14ac:dyDescent="0.25">
      <c r="A111" s="7"/>
      <c r="B111" s="12" t="s">
        <v>21</v>
      </c>
      <c r="C111" s="3"/>
      <c r="D111" s="8">
        <f>E111*F111</f>
        <v>45</v>
      </c>
      <c r="E111" s="10">
        <v>3</v>
      </c>
      <c r="F111" s="42">
        <f>H$11</f>
        <v>15</v>
      </c>
      <c r="H111" s="7">
        <v>1</v>
      </c>
      <c r="I111" s="7">
        <v>6</v>
      </c>
    </row>
    <row r="112" spans="1:9" s="1" customFormat="1" x14ac:dyDescent="0.25">
      <c r="A112" s="7"/>
      <c r="B112" s="12" t="s">
        <v>22</v>
      </c>
      <c r="C112" s="3"/>
      <c r="D112" s="8">
        <f>E112*F112</f>
        <v>90</v>
      </c>
      <c r="E112" s="10">
        <v>6</v>
      </c>
      <c r="F112" s="42">
        <f>H$11</f>
        <v>15</v>
      </c>
      <c r="H112" s="7">
        <v>3</v>
      </c>
      <c r="I112" s="7">
        <v>10</v>
      </c>
    </row>
    <row r="113" spans="1:9" s="1" customFormat="1" x14ac:dyDescent="0.25">
      <c r="A113" s="7"/>
      <c r="B113" s="12" t="s">
        <v>112</v>
      </c>
      <c r="C113" s="3"/>
      <c r="D113" s="8">
        <f>E113*F113</f>
        <v>90</v>
      </c>
      <c r="E113" s="10">
        <v>2</v>
      </c>
      <c r="F113" s="90">
        <f>H$11*H$21</f>
        <v>45</v>
      </c>
      <c r="G113" s="1" t="s">
        <v>122</v>
      </c>
      <c r="H113" s="7">
        <v>1</v>
      </c>
      <c r="I113" s="7">
        <v>6</v>
      </c>
    </row>
    <row r="114" spans="1:9" s="1" customFormat="1" x14ac:dyDescent="0.25">
      <c r="A114" s="7"/>
      <c r="B114" s="12" t="s">
        <v>111</v>
      </c>
      <c r="C114" s="3"/>
      <c r="D114" s="8">
        <f>E114*F114</f>
        <v>180</v>
      </c>
      <c r="E114" s="10">
        <v>4</v>
      </c>
      <c r="F114" s="90">
        <f>H$11*H$21</f>
        <v>45</v>
      </c>
      <c r="H114" s="7">
        <v>1</v>
      </c>
      <c r="I114" s="7">
        <v>10</v>
      </c>
    </row>
    <row r="115" spans="1:9" s="1" customFormat="1" x14ac:dyDescent="0.25">
      <c r="A115" s="7"/>
      <c r="B115" s="3" t="s">
        <v>54</v>
      </c>
      <c r="C115" s="13">
        <f>SUM(D116:D118)</f>
        <v>180</v>
      </c>
      <c r="D115" s="8"/>
      <c r="E115" s="14"/>
      <c r="F115" s="14"/>
      <c r="H115" s="7"/>
      <c r="I115" s="7"/>
    </row>
    <row r="116" spans="1:9" s="1" customFormat="1" x14ac:dyDescent="0.25">
      <c r="A116" s="7"/>
      <c r="B116" s="12" t="s">
        <v>23</v>
      </c>
      <c r="C116" s="3"/>
      <c r="D116" s="8">
        <f>E116*F116</f>
        <v>60</v>
      </c>
      <c r="E116" s="10">
        <v>6</v>
      </c>
      <c r="F116" s="42">
        <f>H$10</f>
        <v>10</v>
      </c>
      <c r="G116" s="1" t="s">
        <v>127</v>
      </c>
      <c r="H116" s="7">
        <v>3</v>
      </c>
      <c r="I116" s="7">
        <v>9</v>
      </c>
    </row>
    <row r="117" spans="1:9" s="1" customFormat="1" x14ac:dyDescent="0.25">
      <c r="A117" s="7"/>
      <c r="B117" s="12" t="s">
        <v>24</v>
      </c>
      <c r="C117" s="3"/>
      <c r="D117" s="8">
        <f>E117*F117</f>
        <v>60</v>
      </c>
      <c r="E117" s="10">
        <v>6</v>
      </c>
      <c r="F117" s="42">
        <f>H$10</f>
        <v>10</v>
      </c>
      <c r="H117" s="7">
        <v>1</v>
      </c>
      <c r="I117" s="7">
        <v>10</v>
      </c>
    </row>
    <row r="118" spans="1:9" s="1" customFormat="1" x14ac:dyDescent="0.25">
      <c r="A118" s="7"/>
      <c r="B118" s="12" t="s">
        <v>25</v>
      </c>
      <c r="C118" s="3"/>
      <c r="D118" s="8">
        <f>E118*F118</f>
        <v>60</v>
      </c>
      <c r="E118" s="10">
        <v>6</v>
      </c>
      <c r="F118" s="42">
        <f>H$10</f>
        <v>10</v>
      </c>
      <c r="H118" s="7">
        <v>1</v>
      </c>
      <c r="I118" s="7">
        <v>10</v>
      </c>
    </row>
    <row r="119" spans="1:9" s="1" customFormat="1" x14ac:dyDescent="0.25">
      <c r="A119" s="7"/>
      <c r="B119" s="3" t="s">
        <v>55</v>
      </c>
      <c r="C119" s="13">
        <f>SUM(D120:D124)</f>
        <v>270</v>
      </c>
      <c r="D119" s="8"/>
      <c r="E119" s="14"/>
      <c r="F119" s="14"/>
      <c r="H119" s="7"/>
      <c r="I119" s="7"/>
    </row>
    <row r="120" spans="1:9" s="1" customFormat="1" x14ac:dyDescent="0.25">
      <c r="A120" s="7"/>
      <c r="B120" s="12" t="s">
        <v>26</v>
      </c>
      <c r="C120" s="3"/>
      <c r="D120" s="8">
        <f>E120*F120</f>
        <v>60</v>
      </c>
      <c r="E120" s="10">
        <v>6</v>
      </c>
      <c r="F120" s="42">
        <f>H$13</f>
        <v>10</v>
      </c>
      <c r="G120" s="1" t="s">
        <v>131</v>
      </c>
      <c r="H120" s="7">
        <v>3</v>
      </c>
      <c r="I120" s="7">
        <v>9</v>
      </c>
    </row>
    <row r="121" spans="1:9" s="1" customFormat="1" x14ac:dyDescent="0.25">
      <c r="A121" s="7"/>
      <c r="B121" s="12" t="s">
        <v>27</v>
      </c>
      <c r="C121" s="3"/>
      <c r="D121" s="8">
        <f>E121*F121</f>
        <v>30</v>
      </c>
      <c r="E121" s="10">
        <v>3</v>
      </c>
      <c r="F121" s="42">
        <f>H$13</f>
        <v>10</v>
      </c>
      <c r="H121" s="7">
        <v>1</v>
      </c>
      <c r="I121" s="7">
        <v>5</v>
      </c>
    </row>
    <row r="122" spans="1:9" s="1" customFormat="1" x14ac:dyDescent="0.25">
      <c r="A122" s="7"/>
      <c r="B122" s="12" t="s">
        <v>28</v>
      </c>
      <c r="C122" s="3"/>
      <c r="D122" s="8">
        <f>E122*F122</f>
        <v>30</v>
      </c>
      <c r="E122" s="10">
        <v>3</v>
      </c>
      <c r="F122" s="42">
        <f>H$13</f>
        <v>10</v>
      </c>
      <c r="H122" s="7">
        <v>1</v>
      </c>
      <c r="I122" s="7">
        <v>5</v>
      </c>
    </row>
    <row r="123" spans="1:9" s="1" customFormat="1" x14ac:dyDescent="0.25">
      <c r="A123" s="7"/>
      <c r="B123" s="12" t="s">
        <v>112</v>
      </c>
      <c r="C123" s="3"/>
      <c r="D123" s="8">
        <f>E123*F123</f>
        <v>60</v>
      </c>
      <c r="E123" s="10">
        <v>2</v>
      </c>
      <c r="F123" s="90">
        <f>H$13*H$21</f>
        <v>30</v>
      </c>
      <c r="G123" s="1" t="s">
        <v>132</v>
      </c>
      <c r="H123" s="7">
        <v>1</v>
      </c>
      <c r="I123" s="7">
        <v>6</v>
      </c>
    </row>
    <row r="124" spans="1:9" s="1" customFormat="1" x14ac:dyDescent="0.25">
      <c r="A124" s="7"/>
      <c r="B124" s="12" t="s">
        <v>111</v>
      </c>
      <c r="C124" s="3"/>
      <c r="D124" s="8">
        <f>E124*F124</f>
        <v>90</v>
      </c>
      <c r="E124" s="10">
        <v>3</v>
      </c>
      <c r="F124" s="90">
        <f>H$13*H$21</f>
        <v>30</v>
      </c>
      <c r="H124" s="7">
        <v>1</v>
      </c>
      <c r="I124" s="7">
        <v>10</v>
      </c>
    </row>
    <row r="125" spans="1:9" s="1" customFormat="1" x14ac:dyDescent="0.25">
      <c r="A125" s="7"/>
      <c r="B125" s="3" t="s">
        <v>56</v>
      </c>
      <c r="C125" s="13">
        <f>SUM(D126:D130)</f>
        <v>270</v>
      </c>
      <c r="D125" s="8"/>
      <c r="E125" s="14"/>
      <c r="F125" s="14"/>
      <c r="H125" s="7"/>
      <c r="I125" s="7"/>
    </row>
    <row r="126" spans="1:9" s="1" customFormat="1" x14ac:dyDescent="0.25">
      <c r="A126" s="7"/>
      <c r="B126" s="12" t="s">
        <v>29</v>
      </c>
      <c r="C126" s="3"/>
      <c r="D126" s="8">
        <f>E126*F126</f>
        <v>60</v>
      </c>
      <c r="E126" s="10">
        <v>6</v>
      </c>
      <c r="F126" s="42">
        <f>H$13</f>
        <v>10</v>
      </c>
      <c r="G126" s="1" t="s">
        <v>134</v>
      </c>
      <c r="H126" s="7">
        <v>3</v>
      </c>
      <c r="I126" s="7">
        <v>9</v>
      </c>
    </row>
    <row r="127" spans="1:9" s="1" customFormat="1" x14ac:dyDescent="0.25">
      <c r="A127" s="7"/>
      <c r="B127" s="12" t="s">
        <v>30</v>
      </c>
      <c r="C127" s="3"/>
      <c r="D127" s="8">
        <f>E127*F127</f>
        <v>30</v>
      </c>
      <c r="E127" s="10">
        <v>3</v>
      </c>
      <c r="F127" s="42">
        <f>H$13</f>
        <v>10</v>
      </c>
      <c r="H127" s="7">
        <v>1</v>
      </c>
      <c r="I127" s="7">
        <v>5</v>
      </c>
    </row>
    <row r="128" spans="1:9" s="1" customFormat="1" x14ac:dyDescent="0.25">
      <c r="A128" s="7"/>
      <c r="B128" s="12" t="s">
        <v>31</v>
      </c>
      <c r="C128" s="3"/>
      <c r="D128" s="8">
        <f>E128*F128</f>
        <v>30</v>
      </c>
      <c r="E128" s="10">
        <v>3</v>
      </c>
      <c r="F128" s="42">
        <f>H$13</f>
        <v>10</v>
      </c>
      <c r="H128" s="7">
        <v>1</v>
      </c>
      <c r="I128" s="7">
        <v>5</v>
      </c>
    </row>
    <row r="129" spans="1:9" s="1" customFormat="1" x14ac:dyDescent="0.25">
      <c r="A129" s="7"/>
      <c r="B129" s="12" t="s">
        <v>112</v>
      </c>
      <c r="C129" s="3"/>
      <c r="D129" s="8">
        <f>E129*F129</f>
        <v>60</v>
      </c>
      <c r="E129" s="10">
        <v>2</v>
      </c>
      <c r="F129" s="90">
        <f>H$13*H$21</f>
        <v>30</v>
      </c>
      <c r="G129" s="1" t="s">
        <v>133</v>
      </c>
      <c r="H129" s="7">
        <v>1</v>
      </c>
      <c r="I129" s="7">
        <v>6</v>
      </c>
    </row>
    <row r="130" spans="1:9" s="1" customFormat="1" x14ac:dyDescent="0.25">
      <c r="A130" s="7"/>
      <c r="B130" s="12" t="s">
        <v>111</v>
      </c>
      <c r="C130" s="3"/>
      <c r="D130" s="8">
        <f>E130*F130</f>
        <v>90</v>
      </c>
      <c r="E130" s="10">
        <v>3</v>
      </c>
      <c r="F130" s="90">
        <f>H$13*H$21</f>
        <v>30</v>
      </c>
      <c r="H130" s="7">
        <v>1</v>
      </c>
      <c r="I130" s="7">
        <v>10</v>
      </c>
    </row>
    <row r="131" spans="1:9" s="1" customFormat="1" x14ac:dyDescent="0.25">
      <c r="A131" s="7"/>
      <c r="B131" s="3" t="s">
        <v>57</v>
      </c>
      <c r="C131" s="13">
        <f>SUM(D132:D135)</f>
        <v>600</v>
      </c>
      <c r="D131" s="8"/>
      <c r="E131" s="14"/>
      <c r="F131" s="14"/>
      <c r="H131" s="7"/>
      <c r="I131" s="7"/>
    </row>
    <row r="132" spans="1:9" s="1" customFormat="1" x14ac:dyDescent="0.25">
      <c r="A132" s="7"/>
      <c r="B132" s="12" t="s">
        <v>83</v>
      </c>
      <c r="C132" s="13"/>
      <c r="D132" s="8">
        <f xml:space="preserve"> E132</f>
        <v>120</v>
      </c>
      <c r="E132" s="10">
        <v>120</v>
      </c>
      <c r="F132" s="7" t="s">
        <v>40</v>
      </c>
      <c r="G132" s="1" t="s">
        <v>126</v>
      </c>
      <c r="H132" s="7">
        <v>60</v>
      </c>
      <c r="I132" s="7">
        <v>180</v>
      </c>
    </row>
    <row r="133" spans="1:9" s="1" customFormat="1" x14ac:dyDescent="0.25">
      <c r="A133" s="7"/>
      <c r="B133" s="12" t="s">
        <v>32</v>
      </c>
      <c r="C133" s="3"/>
      <c r="D133" s="8">
        <f>E133*F133</f>
        <v>120</v>
      </c>
      <c r="E133" s="10">
        <v>6</v>
      </c>
      <c r="F133" s="42">
        <f>H$19</f>
        <v>20</v>
      </c>
      <c r="G133" s="1" t="s">
        <v>136</v>
      </c>
      <c r="H133" s="7">
        <v>3</v>
      </c>
      <c r="I133" s="7">
        <v>10</v>
      </c>
    </row>
    <row r="134" spans="1:9" s="1" customFormat="1" x14ac:dyDescent="0.25">
      <c r="A134" s="7"/>
      <c r="B134" s="12" t="s">
        <v>33</v>
      </c>
      <c r="C134" s="3"/>
      <c r="D134" s="8">
        <f>E134*F134</f>
        <v>120</v>
      </c>
      <c r="E134" s="10">
        <v>6</v>
      </c>
      <c r="F134" s="42">
        <f>H$19</f>
        <v>20</v>
      </c>
      <c r="H134" s="7">
        <v>1</v>
      </c>
      <c r="I134" s="7">
        <v>5</v>
      </c>
    </row>
    <row r="135" spans="1:9" s="1" customFormat="1" x14ac:dyDescent="0.25">
      <c r="A135" s="7"/>
      <c r="B135" s="12" t="s">
        <v>34</v>
      </c>
      <c r="C135" s="3"/>
      <c r="D135" s="8">
        <f>E135*F135</f>
        <v>240</v>
      </c>
      <c r="E135" s="10">
        <v>12</v>
      </c>
      <c r="F135" s="42">
        <f>H$19</f>
        <v>20</v>
      </c>
      <c r="H135" s="7">
        <v>3</v>
      </c>
      <c r="I135" s="7">
        <v>20</v>
      </c>
    </row>
    <row r="136" spans="1:9" s="1" customFormat="1" x14ac:dyDescent="0.25">
      <c r="A136" s="7"/>
      <c r="C136" s="3"/>
      <c r="D136" s="8"/>
      <c r="E136" s="7"/>
      <c r="F136" s="7"/>
      <c r="H136" s="7"/>
      <c r="I136" s="7"/>
    </row>
    <row r="137" spans="1:9" x14ac:dyDescent="0.25">
      <c r="D137" s="8"/>
      <c r="E137" s="3"/>
      <c r="F137" s="1"/>
    </row>
    <row r="138" spans="1:9" x14ac:dyDescent="0.25">
      <c r="D138" s="9"/>
      <c r="E138" s="3"/>
      <c r="F138" s="1"/>
    </row>
  </sheetData>
  <printOptions gridLines="1"/>
  <pageMargins left="0.25" right="0.25" top="0.75" bottom="0.75" header="0.3" footer="0.3"/>
  <pageSetup scale="80" fitToHeight="0" orientation="landscape" r:id="rId1"/>
  <headerFooter>
    <oddHeader>&amp;C&amp;K00-046Requirements Estimation Tool
&amp;A&amp;R&amp;K00-046Page &amp;P of &amp;N</oddHeader>
  </headerFooter>
  <rowBreaks count="3" manualBreakCount="3">
    <brk id="36" max="16383" man="1"/>
    <brk id="71" max="16383" man="1"/>
    <brk id="108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9DD660B6B71F48B6F6AAD05F3557E3" ma:contentTypeVersion="3" ma:contentTypeDescription="Create a new document." ma:contentTypeScope="" ma:versionID="d9a98ae9a889462a0c42cfd01159bad9">
  <xsd:schema xmlns:xsd="http://www.w3.org/2001/XMLSchema" xmlns:p="http://schemas.microsoft.com/office/2006/metadata/properties" xmlns:ns2="212ae132-ce2c-4ea9-86c3-cef527195ff0" targetNamespace="http://schemas.microsoft.com/office/2006/metadata/properties" ma:root="true" ma:fieldsID="67a5f656763d690ac007f3e743a272b1" ns2:_="">
    <xsd:import namespace="212ae132-ce2c-4ea9-86c3-cef527195ff0"/>
    <xsd:element name="properties">
      <xsd:complexType>
        <xsd:sequence>
          <xsd:element name="documentManagement">
            <xsd:complexType>
              <xsd:all>
                <xsd:element ref="ns2:Topic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212ae132-ce2c-4ea9-86c3-cef527195ff0" elementFormDefault="qualified">
    <xsd:import namespace="http://schemas.microsoft.com/office/2006/documentManagement/types"/>
    <xsd:element name="Topic" ma:index="1" nillable="true" ma:displayName="Topic" ma:default="" ma:internalName="Topic">
      <xsd:simpleType>
        <xsd:restriction base="dms:Text">
          <xsd:maxLength value="255"/>
        </xsd:restriction>
      </xsd:simpleType>
    </xsd:element>
    <xsd:element name="Status" ma:index="3" nillable="true" ma:displayName="Status" ma:default="Submitted" ma:format="Dropdown" ma:internalName="Status">
      <xsd:simpleType>
        <xsd:restriction base="dms:Choice">
          <xsd:enumeration value="Submitted"/>
          <xsd:enumeration value="In Review"/>
          <xsd:enumeration value="Reviewed"/>
          <xsd:enumeration value="Approved"/>
          <xsd:enumeration value="In Edit"/>
          <xsd:enumeration value="Deprecated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tatus xmlns="212ae132-ce2c-4ea9-86c3-cef527195ff0">Submitted</Status>
    <Topic xmlns="212ae132-ce2c-4ea9-86c3-cef527195ff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C196A9-EAA8-40D7-9CE2-7EB63CACB2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2ae132-ce2c-4ea9-86c3-cef527195ff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2BD4386-19E8-4B8E-82B5-D9B846FED5C5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212ae132-ce2c-4ea9-86c3-cef527195ff0"/>
  </ds:schemaRefs>
</ds:datastoreItem>
</file>

<file path=customXml/itemProps3.xml><?xml version="1.0" encoding="utf-8"?>
<ds:datastoreItem xmlns:ds="http://schemas.openxmlformats.org/officeDocument/2006/customXml" ds:itemID="{C8143C3B-76EF-4500-B7FD-A241A9AC32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Instructions</vt:lpstr>
      <vt:lpstr>Summary</vt:lpstr>
      <vt:lpstr>Assumptions</vt:lpstr>
      <vt:lpstr>Assumptions!Print_Titles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Estimation Template</dc:title>
  <dc:creator>jbeatty</dc:creator>
  <cp:lastModifiedBy>PinkKyy Nevve</cp:lastModifiedBy>
  <cp:lastPrinted>2013-06-12T03:13:59Z</cp:lastPrinted>
  <dcterms:created xsi:type="dcterms:W3CDTF">2009-05-20T21:41:02Z</dcterms:created>
  <dcterms:modified xsi:type="dcterms:W3CDTF">2024-07-17T16:52:13Z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0x010100999DD660B6B71F48B6F6AAD05F3557E3</vt:lpwstr>
  </property>
</Properties>
</file>